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YandexDisk\ВСОКО\Мониторинг предметных результатов\Срезовые работы\Математика 1-3\"/>
    </mc:Choice>
  </mc:AlternateContent>
  <xr:revisionPtr revIDLastSave="0" documentId="13_ncr:1_{FE2DD5CD-79CA-476D-808F-069F29C4F7DB}" xr6:coauthVersionLast="45" xr6:coauthVersionMax="45" xr10:uidLastSave="{00000000-0000-0000-0000-000000000000}"/>
  <bookViews>
    <workbookView xWindow="-120" yWindow="-120" windowWidth="29040" windowHeight="15840" tabRatio="831" activeTab="2" xr2:uid="{00000000-000D-0000-FFFF-FFFF00000000}"/>
  </bookViews>
  <sheets>
    <sheet name="диагностика" sheetId="2" r:id="rId1"/>
    <sheet name="УУД 1-5 классы" sheetId="5" state="hidden" r:id="rId2"/>
    <sheet name="Справка" sheetId="6" r:id="rId3"/>
    <sheet name="Лист1" sheetId="7" state="hidden" r:id="rId4"/>
  </sheets>
  <definedNames>
    <definedName name="КЛАСС">Лист1!$D$2:$D$12</definedName>
    <definedName name="ФИО">OFFSET(Лист1!$D$1,MATCH(Справка!$B$6,Лист1!$D:$D,0)-1,1,COUNTIF(Лист1!$D:$D,Справка!$B$6),1)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10" i="2" l="1"/>
  <c r="AL10" i="2"/>
  <c r="BT10" i="2" l="1"/>
  <c r="D7" i="6"/>
  <c r="D6" i="6"/>
  <c r="F43" i="6" l="1"/>
  <c r="F44" i="6"/>
  <c r="F45" i="6"/>
  <c r="F46" i="6"/>
  <c r="F42" i="6"/>
  <c r="B43" i="6"/>
  <c r="B44" i="6"/>
  <c r="B46" i="6"/>
  <c r="B42" i="6"/>
  <c r="C37" i="6"/>
  <c r="C36" i="6"/>
  <c r="C35" i="6"/>
  <c r="C34" i="6"/>
  <c r="A30" i="6"/>
  <c r="A29" i="6"/>
  <c r="A28" i="6"/>
  <c r="AG12" i="2" l="1"/>
  <c r="I4" i="5"/>
  <c r="BL14" i="2"/>
  <c r="N14" i="2"/>
  <c r="I12" i="2"/>
  <c r="AP5" i="5"/>
  <c r="AO5" i="5"/>
  <c r="AN5" i="5"/>
  <c r="AK5" i="5"/>
  <c r="AI5" i="5"/>
  <c r="AF5" i="5"/>
  <c r="AD5" i="5"/>
  <c r="AC5" i="5"/>
  <c r="AB5" i="5"/>
  <c r="Y5" i="5"/>
  <c r="W5" i="5"/>
  <c r="T5" i="5"/>
  <c r="R5" i="5"/>
  <c r="Q5" i="5"/>
  <c r="P5" i="5"/>
  <c r="M5" i="5"/>
  <c r="K5" i="5"/>
  <c r="H5" i="5"/>
  <c r="AP4" i="5"/>
  <c r="AO4" i="5"/>
  <c r="AN4" i="5"/>
  <c r="AM4" i="5"/>
  <c r="AI4" i="5"/>
  <c r="AG4" i="5"/>
  <c r="AD4" i="5"/>
  <c r="AC4" i="5"/>
  <c r="AB4" i="5"/>
  <c r="AA4" i="5"/>
  <c r="W4" i="5"/>
  <c r="U4" i="5"/>
  <c r="R4" i="5"/>
  <c r="Q4" i="5"/>
  <c r="P4" i="5"/>
  <c r="O4" i="5"/>
  <c r="K4" i="5"/>
  <c r="Z5" i="5" l="1"/>
  <c r="I5" i="5" l="1"/>
  <c r="O5" i="5"/>
  <c r="X5" i="5"/>
  <c r="V5" i="5"/>
  <c r="L5" i="5"/>
  <c r="AA5" i="5"/>
  <c r="J5" i="5"/>
  <c r="AL5" i="5" l="1"/>
  <c r="N5" i="5"/>
  <c r="AG5" i="5"/>
  <c r="U5" i="5"/>
  <c r="AJ5" i="5"/>
  <c r="AH5" i="5"/>
  <c r="AM5" i="5"/>
  <c r="BG12" i="2" l="1"/>
  <c r="BH12" i="2"/>
  <c r="BI12" i="2"/>
  <c r="BJ12" i="2"/>
  <c r="BK12" i="2"/>
  <c r="BL12" i="2"/>
  <c r="BM12" i="2"/>
  <c r="BN12" i="2"/>
  <c r="BO12" i="2"/>
  <c r="BP12" i="2"/>
  <c r="BQ12" i="2"/>
  <c r="AC12" i="2"/>
  <c r="AD12" i="2"/>
  <c r="AE12" i="2"/>
  <c r="AF12" i="2"/>
  <c r="AH12" i="2"/>
  <c r="AI12" i="2"/>
  <c r="AJ12" i="2"/>
  <c r="AK12" i="2"/>
  <c r="BM17" i="2" l="1"/>
  <c r="AE17" i="2"/>
  <c r="BL20" i="2"/>
  <c r="BL13" i="2"/>
  <c r="AF17" i="2"/>
  <c r="AD18" i="2"/>
  <c r="BK18" i="2"/>
  <c r="AK19" i="2"/>
  <c r="AC19" i="2"/>
  <c r="AJ18" i="2"/>
  <c r="BQ17" i="2"/>
  <c r="BI17" i="2"/>
  <c r="AI17" i="2"/>
  <c r="AH18" i="2"/>
  <c r="BO19" i="2"/>
  <c r="BG19" i="2"/>
  <c r="BM18" i="2"/>
  <c r="BQ20" i="2"/>
  <c r="BI20" i="2"/>
  <c r="BM19" i="2"/>
  <c r="BQ18" i="2"/>
  <c r="BI18" i="2"/>
  <c r="BQ19" i="2"/>
  <c r="BL17" i="2"/>
  <c r="BN19" i="2"/>
  <c r="BK17" i="2"/>
  <c r="BJ17" i="2"/>
  <c r="BJ19" i="2"/>
  <c r="AJ19" i="2"/>
  <c r="BN20" i="2"/>
  <c r="BI19" i="2"/>
  <c r="BK20" i="2"/>
  <c r="BJ20" i="2"/>
  <c r="AI19" i="2"/>
  <c r="AH19" i="2"/>
  <c r="AK18" i="2"/>
  <c r="AH20" i="2"/>
  <c r="AC18" i="2"/>
  <c r="AE20" i="2"/>
  <c r="AH17" i="2"/>
  <c r="AD20" i="2"/>
  <c r="AD17" i="2"/>
  <c r="BP18" i="2"/>
  <c r="BH18" i="2"/>
  <c r="AK17" i="2"/>
  <c r="AC17" i="2"/>
  <c r="BL19" i="2"/>
  <c r="BO18" i="2"/>
  <c r="BG18" i="2"/>
  <c r="AG20" i="2"/>
  <c r="AI18" i="2"/>
  <c r="AJ17" i="2"/>
  <c r="BP20" i="2"/>
  <c r="BH20" i="2"/>
  <c r="BK19" i="2"/>
  <c r="BN18" i="2"/>
  <c r="AF20" i="2"/>
  <c r="AG19" i="2"/>
  <c r="BP17" i="2"/>
  <c r="BH17" i="2"/>
  <c r="AF19" i="2"/>
  <c r="AG18" i="2"/>
  <c r="BO17" i="2"/>
  <c r="AF18" i="2"/>
  <c r="BM20" i="2"/>
  <c r="BP19" i="2"/>
  <c r="BH19" i="2"/>
  <c r="BN17" i="2"/>
  <c r="AK20" i="2"/>
  <c r="AC20" i="2"/>
  <c r="AD19" i="2"/>
  <c r="AE18" i="2"/>
  <c r="BO20" i="2"/>
  <c r="BG20" i="2"/>
  <c r="BL18" i="2"/>
  <c r="BG17" i="2"/>
  <c r="AE19" i="2"/>
  <c r="AG17" i="2"/>
  <c r="BJ18" i="2"/>
  <c r="AJ20" i="2"/>
  <c r="BR9" i="2"/>
  <c r="AL9" i="2"/>
  <c r="BT9" i="2" l="1"/>
  <c r="G12" i="2"/>
  <c r="H12" i="2"/>
  <c r="BQ21" i="2"/>
  <c r="AD21" i="2"/>
  <c r="AK21" i="2"/>
  <c r="BO21" i="2"/>
  <c r="BH21" i="2"/>
  <c r="AH21" i="2"/>
  <c r="BL21" i="2"/>
  <c r="BI21" i="2"/>
  <c r="AG21" i="2"/>
  <c r="AJ21" i="2"/>
  <c r="BK21" i="2"/>
  <c r="AI21" i="2"/>
  <c r="BP21" i="2"/>
  <c r="AC21" i="2"/>
  <c r="AF21" i="2"/>
  <c r="BG21" i="2"/>
  <c r="BN21" i="2"/>
  <c r="BM21" i="2"/>
  <c r="BJ21" i="2"/>
  <c r="AE21" i="2"/>
  <c r="G18" i="2" l="1"/>
  <c r="G17" i="2"/>
  <c r="H20" i="2"/>
  <c r="G20" i="2"/>
  <c r="AN12" i="2" l="1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J12" i="2"/>
  <c r="K12" i="2"/>
  <c r="L12" i="2"/>
  <c r="M12" i="2"/>
  <c r="N12" i="2"/>
  <c r="N13" i="2" s="1"/>
  <c r="B9" i="7" s="1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T20" i="2" l="1"/>
  <c r="AQ20" i="2"/>
  <c r="AS20" i="2"/>
  <c r="AX20" i="2"/>
  <c r="AP20" i="2"/>
  <c r="BE20" i="2"/>
  <c r="AW20" i="2"/>
  <c r="AO20" i="2"/>
  <c r="AR20" i="2"/>
  <c r="BB18" i="2"/>
  <c r="BB20" i="2"/>
  <c r="BC18" i="2"/>
  <c r="BC20" i="2"/>
  <c r="BA18" i="2"/>
  <c r="BA20" i="2"/>
  <c r="AU19" i="2"/>
  <c r="AU20" i="2"/>
  <c r="AL12" i="2"/>
  <c r="AZ18" i="2"/>
  <c r="AZ20" i="2"/>
  <c r="AY18" i="2"/>
  <c r="AY20" i="2"/>
  <c r="BF17" i="2"/>
  <c r="BF20" i="2"/>
  <c r="BD17" i="2"/>
  <c r="BD20" i="2"/>
  <c r="AV17" i="2"/>
  <c r="AV20" i="2"/>
  <c r="BR12" i="2"/>
  <c r="AN20" i="2"/>
  <c r="D15" i="2"/>
  <c r="AM10" i="2" s="1"/>
  <c r="I20" i="2"/>
  <c r="AB20" i="2"/>
  <c r="S20" i="2"/>
  <c r="J20" i="2"/>
  <c r="P20" i="2"/>
  <c r="L20" i="2"/>
  <c r="AA20" i="2"/>
  <c r="Z20" i="2"/>
  <c r="Q20" i="2"/>
  <c r="O20" i="2"/>
  <c r="T20" i="2"/>
  <c r="R20" i="2"/>
  <c r="V20" i="2"/>
  <c r="N20" i="2"/>
  <c r="K20" i="2"/>
  <c r="Y20" i="2"/>
  <c r="X20" i="2"/>
  <c r="W20" i="2"/>
  <c r="U20" i="2"/>
  <c r="M20" i="2"/>
  <c r="AX17" i="2"/>
  <c r="AY17" i="2"/>
  <c r="AW17" i="2"/>
  <c r="BE18" i="2"/>
  <c r="BE17" i="2"/>
  <c r="AW18" i="2"/>
  <c r="BB19" i="2"/>
  <c r="BF18" i="2"/>
  <c r="AX18" i="2"/>
  <c r="BB17" i="2"/>
  <c r="BC17" i="2"/>
  <c r="BC19" i="2"/>
  <c r="AZ19" i="2"/>
  <c r="BD18" i="2"/>
  <c r="AV18" i="2"/>
  <c r="AZ17" i="2"/>
  <c r="AU17" i="2"/>
  <c r="AY19" i="2"/>
  <c r="AU18" i="2"/>
  <c r="BA17" i="2"/>
  <c r="BF19" i="2"/>
  <c r="AX19" i="2"/>
  <c r="BA19" i="2"/>
  <c r="BE19" i="2"/>
  <c r="AW19" i="2"/>
  <c r="BD19" i="2"/>
  <c r="AV19" i="2"/>
  <c r="V19" i="2"/>
  <c r="V18" i="2"/>
  <c r="V17" i="2"/>
  <c r="U19" i="2"/>
  <c r="U18" i="2"/>
  <c r="U17" i="2"/>
  <c r="N19" i="2"/>
  <c r="N18" i="2"/>
  <c r="N17" i="2"/>
  <c r="Q17" i="2"/>
  <c r="Q19" i="2"/>
  <c r="Q18" i="2"/>
  <c r="W17" i="2"/>
  <c r="W19" i="2"/>
  <c r="W18" i="2"/>
  <c r="O18" i="2"/>
  <c r="O17" i="2"/>
  <c r="O19" i="2"/>
  <c r="M18" i="2"/>
  <c r="M17" i="2"/>
  <c r="M19" i="2"/>
  <c r="AA18" i="2"/>
  <c r="AA19" i="2"/>
  <c r="AA17" i="2"/>
  <c r="S19" i="2"/>
  <c r="S18" i="2"/>
  <c r="S17" i="2"/>
  <c r="AB17" i="2"/>
  <c r="AB18" i="2"/>
  <c r="AB19" i="2"/>
  <c r="Z17" i="2"/>
  <c r="Z19" i="2"/>
  <c r="Z18" i="2"/>
  <c r="P17" i="2"/>
  <c r="P19" i="2"/>
  <c r="P18" i="2"/>
  <c r="T18" i="2"/>
  <c r="T17" i="2"/>
  <c r="T19" i="2"/>
  <c r="Y19" i="2"/>
  <c r="Y18" i="2"/>
  <c r="Y17" i="2"/>
  <c r="R19" i="2"/>
  <c r="R18" i="2"/>
  <c r="R17" i="2"/>
  <c r="X18" i="2"/>
  <c r="X17" i="2"/>
  <c r="X19" i="2"/>
  <c r="D12" i="2"/>
  <c r="BK13" i="2" s="1"/>
  <c r="BK14" i="2" s="1"/>
  <c r="BR11" i="2"/>
  <c r="AL11" i="2"/>
  <c r="BR8" i="2"/>
  <c r="AL8" i="2"/>
  <c r="BR7" i="2"/>
  <c r="AL7" i="2"/>
  <c r="BR6" i="2"/>
  <c r="AL6" i="2"/>
  <c r="AT13" i="2" l="1"/>
  <c r="AN1" i="7"/>
  <c r="AT14" i="2"/>
  <c r="AG13" i="2"/>
  <c r="AD13" i="2"/>
  <c r="BB13" i="2"/>
  <c r="BB14" i="2" s="1"/>
  <c r="E32" i="6"/>
  <c r="I13" i="2"/>
  <c r="AM9" i="2"/>
  <c r="M4" i="5" s="1"/>
  <c r="A51" i="6"/>
  <c r="K13" i="2"/>
  <c r="O13" i="2"/>
  <c r="AZ13" i="2"/>
  <c r="AZ14" i="2" s="1"/>
  <c r="AU13" i="2"/>
  <c r="AU14" i="2" s="1"/>
  <c r="W13" i="2"/>
  <c r="AX13" i="2"/>
  <c r="AX14" i="2" s="1"/>
  <c r="AS13" i="2"/>
  <c r="AS14" i="2" s="1"/>
  <c r="AO13" i="2"/>
  <c r="AO14" i="2" s="1"/>
  <c r="X13" i="2"/>
  <c r="S13" i="2"/>
  <c r="AN13" i="2"/>
  <c r="AN14" i="2" s="1"/>
  <c r="R13" i="2"/>
  <c r="BF13" i="2"/>
  <c r="BF14" i="2" s="1"/>
  <c r="M13" i="2"/>
  <c r="BM13" i="2"/>
  <c r="BM14" i="2" s="1"/>
  <c r="AI13" i="2"/>
  <c r="BN13" i="2"/>
  <c r="BN14" i="2" s="1"/>
  <c r="AJ13" i="2"/>
  <c r="BP13" i="2"/>
  <c r="BP14" i="2" s="1"/>
  <c r="AE13" i="2"/>
  <c r="BQ13" i="2"/>
  <c r="BQ14" i="2" s="1"/>
  <c r="AH13" i="2"/>
  <c r="AK13" i="2"/>
  <c r="BI13" i="2"/>
  <c r="BI14" i="2" s="1"/>
  <c r="BO13" i="2"/>
  <c r="BO14" i="2" s="1"/>
  <c r="AC13" i="2"/>
  <c r="AF13" i="2"/>
  <c r="BH13" i="2"/>
  <c r="BH14" i="2" s="1"/>
  <c r="BJ13" i="2"/>
  <c r="BJ14" i="2" s="1"/>
  <c r="BG13" i="2"/>
  <c r="BG14" i="2" s="1"/>
  <c r="H13" i="2"/>
  <c r="B3" i="7" s="1"/>
  <c r="G13" i="2"/>
  <c r="P13" i="2"/>
  <c r="BD13" i="2"/>
  <c r="BD14" i="2" s="1"/>
  <c r="AA13" i="2"/>
  <c r="Q13" i="2"/>
  <c r="T13" i="2"/>
  <c r="AV13" i="2"/>
  <c r="AV14" i="2" s="1"/>
  <c r="AW13" i="2"/>
  <c r="AW14" i="2" s="1"/>
  <c r="BA13" i="2"/>
  <c r="BA14" i="2" s="1"/>
  <c r="L13" i="2"/>
  <c r="V13" i="2"/>
  <c r="BE13" i="2"/>
  <c r="BE14" i="2" s="1"/>
  <c r="U13" i="2"/>
  <c r="AR13" i="2"/>
  <c r="AR14" i="2" s="1"/>
  <c r="AY13" i="2"/>
  <c r="AY14" i="2" s="1"/>
  <c r="AB13" i="2"/>
  <c r="AQ13" i="2"/>
  <c r="AQ14" i="2" s="1"/>
  <c r="Z13" i="2"/>
  <c r="AP13" i="2"/>
  <c r="AP14" i="2" s="1"/>
  <c r="J13" i="2"/>
  <c r="Y13" i="2"/>
  <c r="BC13" i="2"/>
  <c r="BC14" i="2" s="1"/>
  <c r="AN19" i="2"/>
  <c r="AN18" i="2"/>
  <c r="AN17" i="2"/>
  <c r="AT19" i="2"/>
  <c r="AT18" i="2"/>
  <c r="AT17" i="2"/>
  <c r="AO17" i="2"/>
  <c r="AO18" i="2"/>
  <c r="AO19" i="2"/>
  <c r="AP18" i="2"/>
  <c r="AP17" i="2"/>
  <c r="AP19" i="2"/>
  <c r="AR19" i="2"/>
  <c r="AR17" i="2"/>
  <c r="AR18" i="2"/>
  <c r="AS17" i="2"/>
  <c r="AS19" i="2"/>
  <c r="AS18" i="2"/>
  <c r="AQ17" i="2"/>
  <c r="AQ18" i="2"/>
  <c r="AQ19" i="2"/>
  <c r="AR15" i="2"/>
  <c r="BS10" i="2" s="1"/>
  <c r="BU10" i="2" s="1"/>
  <c r="H17" i="2"/>
  <c r="H18" i="2"/>
  <c r="H19" i="2"/>
  <c r="J19" i="2"/>
  <c r="J18" i="2"/>
  <c r="J17" i="2"/>
  <c r="K18" i="2"/>
  <c r="K17" i="2"/>
  <c r="K19" i="2"/>
  <c r="L18" i="2"/>
  <c r="L19" i="2"/>
  <c r="L17" i="2"/>
  <c r="I18" i="2"/>
  <c r="I17" i="2"/>
  <c r="I19" i="2"/>
  <c r="G19" i="2"/>
  <c r="BT8" i="2"/>
  <c r="BT11" i="2"/>
  <c r="BT7" i="2"/>
  <c r="BT6" i="2"/>
  <c r="N21" i="2"/>
  <c r="U21" i="2"/>
  <c r="AU21" i="2"/>
  <c r="T21" i="2"/>
  <c r="BD21" i="2"/>
  <c r="O21" i="2"/>
  <c r="BE21" i="2"/>
  <c r="M21" i="2"/>
  <c r="AZ21" i="2"/>
  <c r="Q21" i="2"/>
  <c r="AY21" i="2"/>
  <c r="P21" i="2"/>
  <c r="AA21" i="2"/>
  <c r="BB21" i="2"/>
  <c r="Z21" i="2"/>
  <c r="AW21" i="2"/>
  <c r="G21" i="2"/>
  <c r="AB21" i="2"/>
  <c r="BF21" i="2"/>
  <c r="W21" i="2"/>
  <c r="AV21" i="2"/>
  <c r="V21" i="2"/>
  <c r="Y21" i="2"/>
  <c r="BA21" i="2"/>
  <c r="X21" i="2"/>
  <c r="AX21" i="2"/>
  <c r="S21" i="2"/>
  <c r="BC21" i="2"/>
  <c r="R21" i="2"/>
  <c r="B25" i="7" l="1"/>
  <c r="AD14" i="2"/>
  <c r="B28" i="7"/>
  <c r="AG14" i="2"/>
  <c r="B23" i="7"/>
  <c r="AB14" i="2"/>
  <c r="B32" i="7"/>
  <c r="AK14" i="2"/>
  <c r="B2" i="7"/>
  <c r="G14" i="2"/>
  <c r="B30" i="7"/>
  <c r="AI14" i="2"/>
  <c r="B29" i="7"/>
  <c r="AH14" i="2"/>
  <c r="B18" i="7"/>
  <c r="W14" i="2"/>
  <c r="B20" i="7"/>
  <c r="Y14" i="2"/>
  <c r="B16" i="7"/>
  <c r="U14" i="2"/>
  <c r="B12" i="7"/>
  <c r="Q14" i="2"/>
  <c r="B26" i="7"/>
  <c r="AE14" i="2"/>
  <c r="B13" i="7"/>
  <c r="R14" i="2"/>
  <c r="B8" i="7"/>
  <c r="M14" i="2"/>
  <c r="B5" i="7"/>
  <c r="J14" i="2"/>
  <c r="B22" i="7"/>
  <c r="AA14" i="2"/>
  <c r="B27" i="7"/>
  <c r="AF14" i="2"/>
  <c r="BS9" i="2"/>
  <c r="Y4" i="5" s="1"/>
  <c r="A52" i="6"/>
  <c r="B17" i="7"/>
  <c r="V14" i="2"/>
  <c r="B24" i="7"/>
  <c r="AC14" i="2"/>
  <c r="B31" i="7"/>
  <c r="AJ14" i="2"/>
  <c r="B14" i="7"/>
  <c r="S14" i="2"/>
  <c r="B10" i="7"/>
  <c r="O14" i="2"/>
  <c r="B15" i="7"/>
  <c r="T14" i="2"/>
  <c r="B21" i="7"/>
  <c r="Z14" i="2"/>
  <c r="B7" i="7"/>
  <c r="L14" i="2"/>
  <c r="B11" i="7"/>
  <c r="P14" i="2"/>
  <c r="B19" i="7"/>
  <c r="X14" i="2"/>
  <c r="B6" i="7"/>
  <c r="K14" i="2"/>
  <c r="I14" i="2"/>
  <c r="B4" i="7"/>
  <c r="H14" i="2"/>
  <c r="BU9" i="2"/>
  <c r="AK4" i="5" s="1"/>
  <c r="AM13" i="2"/>
  <c r="AM11" i="2"/>
  <c r="N4" i="5" s="1"/>
  <c r="AM8" i="2"/>
  <c r="L4" i="5" s="1"/>
  <c r="AM7" i="2"/>
  <c r="J4" i="5" s="1"/>
  <c r="AM6" i="2"/>
  <c r="H4" i="5" s="1"/>
  <c r="BS7" i="2"/>
  <c r="V4" i="5" s="1"/>
  <c r="BS6" i="2"/>
  <c r="T4" i="5" s="1"/>
  <c r="BS11" i="2"/>
  <c r="Z4" i="5" s="1"/>
  <c r="BS8" i="2"/>
  <c r="X4" i="5" s="1"/>
  <c r="BT15" i="2"/>
  <c r="AL17" i="2"/>
  <c r="AL19" i="2"/>
  <c r="AL20" i="2"/>
  <c r="E51" i="6" s="1"/>
  <c r="BR18" i="2"/>
  <c r="BS18" i="2" s="1"/>
  <c r="AL18" i="2"/>
  <c r="AM18" i="2" s="1"/>
  <c r="BR19" i="2"/>
  <c r="BR17" i="2"/>
  <c r="BR14" i="2"/>
  <c r="BS14" i="2" s="1"/>
  <c r="BS13" i="2"/>
  <c r="BR20" i="2"/>
  <c r="E52" i="6" s="1"/>
  <c r="AP21" i="2"/>
  <c r="AS21" i="2"/>
  <c r="J21" i="2"/>
  <c r="AO21" i="2"/>
  <c r="AR21" i="2"/>
  <c r="L21" i="2"/>
  <c r="AQ21" i="2"/>
  <c r="H21" i="2"/>
  <c r="I21" i="2"/>
  <c r="K21" i="2"/>
  <c r="AT21" i="2"/>
  <c r="AN21" i="2"/>
  <c r="AL14" i="2" l="1"/>
  <c r="AM14" i="2" s="1"/>
  <c r="BU14" i="2" s="1"/>
  <c r="D52" i="6"/>
  <c r="D51" i="6"/>
  <c r="AM17" i="2"/>
  <c r="AM22" i="2" s="1"/>
  <c r="C51" i="6" s="1"/>
  <c r="AL21" i="2"/>
  <c r="F51" i="6" s="1"/>
  <c r="BS17" i="2"/>
  <c r="BS22" i="2" s="1"/>
  <c r="C52" i="6" s="1"/>
  <c r="BR21" i="2"/>
  <c r="F52" i="6" s="1"/>
  <c r="BS20" i="2"/>
  <c r="BS23" i="2" s="1"/>
  <c r="B52" i="6" s="1"/>
  <c r="AM20" i="2"/>
  <c r="AM23" i="2" s="1"/>
  <c r="B51" i="6" s="1"/>
  <c r="BS19" i="2"/>
  <c r="AM19" i="2"/>
  <c r="BU11" i="2"/>
  <c r="AL4" i="5" s="1"/>
  <c r="BU6" i="2"/>
  <c r="AF4" i="5" s="1"/>
  <c r="BU8" i="2"/>
  <c r="AJ4" i="5" s="1"/>
  <c r="BU7" i="2"/>
  <c r="AH4" i="5" s="1"/>
  <c r="BU18" i="2"/>
  <c r="BT20" i="2"/>
  <c r="BT18" i="2"/>
  <c r="BT19" i="2"/>
  <c r="BT17" i="2"/>
  <c r="BU13" i="2"/>
  <c r="BT14" i="2" l="1"/>
  <c r="BT21" i="2"/>
  <c r="BU17" i="2"/>
  <c r="BU22" i="2"/>
  <c r="BU19" i="2"/>
  <c r="BU20" i="2"/>
  <c r="BU23" i="2"/>
</calcChain>
</file>

<file path=xl/sharedStrings.xml><?xml version="1.0" encoding="utf-8"?>
<sst xmlns="http://schemas.openxmlformats.org/spreadsheetml/2006/main" count="336" uniqueCount="199">
  <si>
    <t>№  задания</t>
  </si>
  <si>
    <t>Тип задания</t>
  </si>
  <si>
    <t>Макс. балл</t>
  </si>
  <si>
    <t>ИТОГО по ученику баллов:</t>
  </si>
  <si>
    <t>% набранных баллов от макс.</t>
  </si>
  <si>
    <t>Сумма баллов</t>
  </si>
  <si>
    <t>Преодолели порог в 50%</t>
  </si>
  <si>
    <t>Выполняло работу (уч-ся)</t>
  </si>
  <si>
    <t xml:space="preserve">Сумма баллов в параллели </t>
  </si>
  <si>
    <t>Общее кол-во уч-ся</t>
  </si>
  <si>
    <t>% от общего
 кол-ва уч-ся класса</t>
  </si>
  <si>
    <t>% от общего
 кол-ва уч-ся по параллели</t>
  </si>
  <si>
    <t>% выполнения</t>
  </si>
  <si>
    <t>%  выполннеия</t>
  </si>
  <si>
    <t xml:space="preserve">Уровни освоения предметного содержания </t>
  </si>
  <si>
    <t>Общее 
кол-во уч-ся 
по параллели</t>
  </si>
  <si>
    <t>% от общего
кол-ва 
уч-ся класса</t>
  </si>
  <si>
    <t>Параллель А</t>
  </si>
  <si>
    <t>Индивидуальный уровень освоения предметного содержания учащихся параллели А</t>
  </si>
  <si>
    <t>высокий: оценка 5</t>
  </si>
  <si>
    <t>повышенный: оценка 4</t>
  </si>
  <si>
    <t>средний: оценка 3</t>
  </si>
  <si>
    <t>низкий: оценка 2</t>
  </si>
  <si>
    <t>Элементы содержания, проверяемые заданием</t>
  </si>
  <si>
    <t>КОД</t>
  </si>
  <si>
    <t>% качества:</t>
  </si>
  <si>
    <t>Параллель Б</t>
  </si>
  <si>
    <t>Анущенков Владимир</t>
  </si>
  <si>
    <t>Белоруков Роман</t>
  </si>
  <si>
    <t xml:space="preserve">Бородин Даниил </t>
  </si>
  <si>
    <t>Вознюк Елизавета</t>
  </si>
  <si>
    <t xml:space="preserve">Воротникова Ева </t>
  </si>
  <si>
    <t xml:space="preserve">Иванова Арина </t>
  </si>
  <si>
    <t xml:space="preserve">Исакова Аяна </t>
  </si>
  <si>
    <t xml:space="preserve">Кизилбоева Шукрона </t>
  </si>
  <si>
    <t xml:space="preserve">Кравченко Алексей </t>
  </si>
  <si>
    <t xml:space="preserve">Крылова Варвара </t>
  </si>
  <si>
    <t xml:space="preserve">Ларина Татьяна </t>
  </si>
  <si>
    <t xml:space="preserve">Ласский Дмитрий </t>
  </si>
  <si>
    <t xml:space="preserve">Манваров Геральт </t>
  </si>
  <si>
    <t xml:space="preserve">Посохова Людмила </t>
  </si>
  <si>
    <t xml:space="preserve">Посохова Ольга </t>
  </si>
  <si>
    <t xml:space="preserve">Прокопович Михаил </t>
  </si>
  <si>
    <t xml:space="preserve">Пушкина Виктория </t>
  </si>
  <si>
    <t xml:space="preserve">Радозинский Святослав </t>
  </si>
  <si>
    <t>Ратковская Алина</t>
  </si>
  <si>
    <t xml:space="preserve">Рахманов Леонид </t>
  </si>
  <si>
    <t xml:space="preserve">Савина Ирина </t>
  </si>
  <si>
    <t xml:space="preserve">Саглаева Анфиса </t>
  </si>
  <si>
    <t xml:space="preserve">Секретарева Елизавета </t>
  </si>
  <si>
    <t xml:space="preserve">Семенова Ксения </t>
  </si>
  <si>
    <t xml:space="preserve">Смольникова Анастасия </t>
  </si>
  <si>
    <t xml:space="preserve">Темирханов Магомедшапи </t>
  </si>
  <si>
    <t xml:space="preserve">Торпан Софья </t>
  </si>
  <si>
    <t xml:space="preserve">Федорова Карина </t>
  </si>
  <si>
    <t>Филлимонов Алексей</t>
  </si>
  <si>
    <t xml:space="preserve">Щёголев Максим </t>
  </si>
  <si>
    <t xml:space="preserve">Юрьева Мария </t>
  </si>
  <si>
    <t>Индивидуальный уровень освоения предметного содержания учащихся параллели Б</t>
  </si>
  <si>
    <t>% успеваемости:</t>
  </si>
  <si>
    <t>ВО</t>
  </si>
  <si>
    <t>КО</t>
  </si>
  <si>
    <t>РО</t>
  </si>
  <si>
    <t>УУД</t>
  </si>
  <si>
    <t>1 умение</t>
  </si>
  <si>
    <t>Планирование – составление плана и последовательности действий</t>
  </si>
  <si>
    <t>2 умение</t>
  </si>
  <si>
    <t>Контроль (сличение результата с эталоном)</t>
  </si>
  <si>
    <t>3 умение</t>
  </si>
  <si>
    <t>Коррекция – внесение необходимых дополнений и коррективов в план и способ действия</t>
  </si>
  <si>
    <t>4 умение</t>
  </si>
  <si>
    <t>Поиск и выделение необходимой информации</t>
  </si>
  <si>
    <t>5 умение</t>
  </si>
  <si>
    <t>Смысловое чтение – определение основной и второстепенной информации</t>
  </si>
  <si>
    <t>6 умение</t>
  </si>
  <si>
    <t>Моделирование с выделением существенных характеристик объекта и преобразование модели</t>
  </si>
  <si>
    <t>7 умение</t>
  </si>
  <si>
    <t>Анализ объектов (выделение существенных и несущественных признаков) и синтез (составление целого из частей)</t>
  </si>
  <si>
    <t>8 умение</t>
  </si>
  <si>
    <t>Группировка (классификация) объектов</t>
  </si>
  <si>
    <t>9 умение</t>
  </si>
  <si>
    <t>Установление причинно-следственных связей</t>
  </si>
  <si>
    <t>10 умение</t>
  </si>
  <si>
    <t>Постановка вопросов при работе с информацией</t>
  </si>
  <si>
    <t>11 умение</t>
  </si>
  <si>
    <t>Умение выражать свои мысли в соответствии с задачами и условиями коммуникации</t>
  </si>
  <si>
    <t>Регулятивные УУД</t>
  </si>
  <si>
    <t>Познавательные УУД</t>
  </si>
  <si>
    <t>Коммуникативные УУД</t>
  </si>
  <si>
    <t>Р1</t>
  </si>
  <si>
    <t>Р2</t>
  </si>
  <si>
    <t>Р3</t>
  </si>
  <si>
    <t>П4</t>
  </si>
  <si>
    <t>П5</t>
  </si>
  <si>
    <t>П6</t>
  </si>
  <si>
    <t>П7</t>
  </si>
  <si>
    <t>П8</t>
  </si>
  <si>
    <t>П9</t>
  </si>
  <si>
    <t>К10</t>
  </si>
  <si>
    <t>К11</t>
  </si>
  <si>
    <t>Обе параллели</t>
  </si>
  <si>
    <t>Стартовая работа</t>
  </si>
  <si>
    <t>Срезовая работа</t>
  </si>
  <si>
    <t>Класс</t>
  </si>
  <si>
    <t>4, 5</t>
  </si>
  <si>
    <t>1, 2, 3, 4, 5</t>
  </si>
  <si>
    <t>3, 4, 5</t>
  </si>
  <si>
    <t>2, 3, 4, 5</t>
  </si>
  <si>
    <t>Кодификатор универсальных учебных действий</t>
  </si>
  <si>
    <t>Справка</t>
  </si>
  <si>
    <t>Педагог:</t>
  </si>
  <si>
    <t>3. Учебный предмет:</t>
  </si>
  <si>
    <t xml:space="preserve">4. Цель диагностики заключается в том, чтобы определить </t>
  </si>
  <si>
    <t>уровень знаний, навыков и умений учащихся, степени усвоения ими материалов программы начального общего образования;</t>
  </si>
  <si>
    <t>проблемные тематические блоки;</t>
  </si>
  <si>
    <t>прочность усвоения знаний, умений и способов действия;</t>
  </si>
  <si>
    <t>обучающихся как с низкими, так и с высокими образовательными достижениями.</t>
  </si>
  <si>
    <t>5. Нормативное обеспечение проведения диагностической работы</t>
  </si>
  <si>
    <t>Содержание и структура стартовой диагностической работы для учащихся разработаны на основе следующих документов:</t>
  </si>
  <si>
    <t>Федеральный государственный образовательный стандарт начального общего образования, утвержденный приказом Минобрнауки России от 06.10.2009 N 373</t>
  </si>
  <si>
    <t>Положение о внутренней системе оценки качества образования в Государственном бюджетном общеобразовательном учреждении средней общеобразовательной школы №39 Невского района Санкт-Петербурга.</t>
  </si>
  <si>
    <t>6. Условия проведения диагностической работы, включая дополнительные материалы и оборудование</t>
  </si>
  <si>
    <t>Дополнительные материалы и оборудование не используются.</t>
  </si>
  <si>
    <t>7. Структура диагностической работы</t>
  </si>
  <si>
    <t>Вариант диагностической работы состоит из заданий:</t>
  </si>
  <si>
    <t>Диагностическая работа разработана в соответствии с требованиями ФГОС начального общего образования по окружающему миру и охватывает содержание, включенное в массовые учебно­методические комплекты по данному предмету, используемые в начальной школе.</t>
  </si>
  <si>
    <t xml:space="preserve">Уровни освоения предметного содержания и критерии оценки в баллах: </t>
  </si>
  <si>
    <t xml:space="preserve">низкий "2" - </t>
  </si>
  <si>
    <t xml:space="preserve">средний "3" - </t>
  </si>
  <si>
    <t xml:space="preserve">повышенный "4" - </t>
  </si>
  <si>
    <t xml:space="preserve">высокий "5" - </t>
  </si>
  <si>
    <t>8. Кодификаторы диагностики.</t>
  </si>
  <si>
    <t>№ задания</t>
  </si>
  <si>
    <t>Код</t>
  </si>
  <si>
    <t>9. Результаты диагностики</t>
  </si>
  <si>
    <t>% успеваемости</t>
  </si>
  <si>
    <t>% качества</t>
  </si>
  <si>
    <t>Количество человек, написавших на
«4» и «5»</t>
  </si>
  <si>
    <t>Количество человек, написавших на
«2»</t>
  </si>
  <si>
    <t>Средний балл</t>
  </si>
  <si>
    <t>10. Выводы</t>
  </si>
  <si>
    <t>Типичные ошибки:</t>
  </si>
  <si>
    <t>Выявлены учащиеся с низкими учебными возможностями</t>
  </si>
  <si>
    <t>2. Класс:</t>
  </si>
  <si>
    <t xml:space="preserve"> - </t>
  </si>
  <si>
    <t>1. Дата проведения:</t>
  </si>
  <si>
    <t xml:space="preserve">Время выполнения работы – </t>
  </si>
  <si>
    <t>минут</t>
  </si>
  <si>
    <t xml:space="preserve"> - с выбором ответа;</t>
  </si>
  <si>
    <t xml:space="preserve"> - с кратким ответом;</t>
  </si>
  <si>
    <t xml:space="preserve"> - с развернутым ответом.</t>
  </si>
  <si>
    <t xml:space="preserve">Максимальный балл, который можно получить за работу – </t>
  </si>
  <si>
    <t>по итогам стартовой диагностики</t>
  </si>
  <si>
    <t>1А</t>
  </si>
  <si>
    <t>Параллель
(кол-во писавших работу)</t>
  </si>
  <si>
    <t>10.1. Учащимися прочно усвоены темы</t>
  </si>
  <si>
    <t>10.2. К проблемным тематическим блокам освоения предметного содержания относятся разделы</t>
  </si>
  <si>
    <t>Столбец1</t>
  </si>
  <si>
    <t>Столбец2</t>
  </si>
  <si>
    <t>Лихотина Галина Викторовна</t>
  </si>
  <si>
    <t>Сороколетова Елена Сергеевна</t>
  </si>
  <si>
    <t>Васёкина Ирина Владимировна</t>
  </si>
  <si>
    <t>Щербакова Елена Александровна</t>
  </si>
  <si>
    <t>Усманова Ольга Петровна</t>
  </si>
  <si>
    <t>Петрова Светлана Владимировна</t>
  </si>
  <si>
    <t>Камышова Надежда Викторовна</t>
  </si>
  <si>
    <t>Лобунова Анна Сергеевна</t>
  </si>
  <si>
    <t>Банакова Анна Александровна</t>
  </si>
  <si>
    <t>Тимофеева Валентина Ивановна</t>
  </si>
  <si>
    <t>Иванов Владимир Геннадьевич</t>
  </si>
  <si>
    <t>1Б</t>
  </si>
  <si>
    <t>2А</t>
  </si>
  <si>
    <t>2Б</t>
  </si>
  <si>
    <t>2В</t>
  </si>
  <si>
    <t>3А</t>
  </si>
  <si>
    <t>3Б</t>
  </si>
  <si>
    <t>4А</t>
  </si>
  <si>
    <t>4Б</t>
  </si>
  <si>
    <t>5А</t>
  </si>
  <si>
    <t>5Б</t>
  </si>
  <si>
    <t xml:space="preserve">Различать звуки и буквы </t>
  </si>
  <si>
    <t>1.1</t>
  </si>
  <si>
    <t>Сравнение и упорядочение чисел, знаки сравнения.</t>
  </si>
  <si>
    <t>1.4</t>
  </si>
  <si>
    <t>Сложение, вычитание, умножение и деление. Название компонентов арифметических действий, знаки действий.</t>
  </si>
  <si>
    <t>2.1</t>
  </si>
  <si>
    <t>3.1, 3.2</t>
  </si>
  <si>
    <t>Нахождение неизвестного компонента арифметического действия.</t>
  </si>
  <si>
    <t>2.3</t>
  </si>
  <si>
    <t>4.3, 5.2</t>
  </si>
  <si>
    <t xml:space="preserve">Распознавание и изображение геометрических фигур: точка, кривая/ прямая  линия, отрезок, ломаная, угол и др. Измерение длины отрезка. </t>
  </si>
  <si>
    <t>математика</t>
  </si>
  <si>
    <t>Счёт предметов, решение арифметических задач, решение числовых выражений.</t>
  </si>
  <si>
    <t>Сравнение чисел, название компонентов арифметических действий.</t>
  </si>
  <si>
    <t>Решение арифметических задач.</t>
  </si>
  <si>
    <t>Предметные результаты  по математике</t>
  </si>
  <si>
    <t>ххх ххххх</t>
  </si>
  <si>
    <t>ууу ууууу</t>
  </si>
  <si>
    <t>ууу уууууу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</si>
</sst>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D4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2" fontId="2" fillId="12" borderId="0" xfId="0" applyNumberFormat="1" applyFont="1" applyFill="1" applyBorder="1"/>
    <xf numFmtId="2" fontId="2" fillId="12" borderId="20" xfId="0" applyNumberFormat="1" applyFont="1" applyFill="1" applyBorder="1"/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right" vertical="top" wrapText="1"/>
    </xf>
    <xf numFmtId="9" fontId="2" fillId="5" borderId="1" xfId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9" fontId="2" fillId="5" borderId="4" xfId="1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/>
    </xf>
    <xf numFmtId="9" fontId="2" fillId="6" borderId="17" xfId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" fontId="2" fillId="10" borderId="1" xfId="0" applyNumberFormat="1" applyFont="1" applyFill="1" applyBorder="1" applyAlignment="1">
      <alignment horizontal="right"/>
    </xf>
    <xf numFmtId="164" fontId="2" fillId="10" borderId="1" xfId="0" applyNumberFormat="1" applyFont="1" applyFill="1" applyBorder="1" applyAlignment="1">
      <alignment vertical="top" wrapText="1"/>
    </xf>
    <xf numFmtId="164" fontId="2" fillId="10" borderId="1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9" fontId="3" fillId="3" borderId="1" xfId="1" applyFont="1" applyFill="1" applyBorder="1" applyAlignment="1">
      <alignment vertical="top" wrapText="1"/>
    </xf>
    <xf numFmtId="1" fontId="2" fillId="7" borderId="0" xfId="0" applyNumberFormat="1" applyFont="1" applyFill="1" applyAlignment="1">
      <alignment horizontal="center"/>
    </xf>
    <xf numFmtId="9" fontId="2" fillId="3" borderId="1" xfId="1" applyFont="1" applyFill="1" applyBorder="1" applyAlignment="1">
      <alignment horizontal="center" vertical="top" wrapText="1"/>
    </xf>
    <xf numFmtId="1" fontId="2" fillId="3" borderId="1" xfId="1" applyNumberFormat="1" applyFont="1" applyFill="1" applyBorder="1" applyAlignment="1">
      <alignment vertical="top" wrapText="1"/>
    </xf>
    <xf numFmtId="9" fontId="2" fillId="3" borderId="4" xfId="1" applyFont="1" applyFill="1" applyBorder="1" applyAlignment="1">
      <alignment vertical="top" wrapText="1"/>
    </xf>
    <xf numFmtId="1" fontId="2" fillId="7" borderId="16" xfId="1" applyNumberFormat="1" applyFont="1" applyFill="1" applyBorder="1"/>
    <xf numFmtId="9" fontId="2" fillId="7" borderId="17" xfId="0" applyNumberFormat="1" applyFont="1" applyFill="1" applyBorder="1"/>
    <xf numFmtId="0" fontId="3" fillId="0" borderId="1" xfId="0" applyFont="1" applyBorder="1"/>
    <xf numFmtId="9" fontId="3" fillId="11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 wrapText="1"/>
    </xf>
    <xf numFmtId="9" fontId="2" fillId="11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vertical="top" wrapText="1"/>
    </xf>
    <xf numFmtId="9" fontId="2" fillId="11" borderId="4" xfId="0" applyNumberFormat="1" applyFont="1" applyFill="1" applyBorder="1" applyAlignment="1">
      <alignment vertical="top" wrapText="1"/>
    </xf>
    <xf numFmtId="0" fontId="2" fillId="11" borderId="16" xfId="0" applyFont="1" applyFill="1" applyBorder="1"/>
    <xf numFmtId="9" fontId="2" fillId="11" borderId="17" xfId="0" applyNumberFormat="1" applyFont="1" applyFill="1" applyBorder="1"/>
    <xf numFmtId="0" fontId="2" fillId="8" borderId="2" xfId="0" applyFont="1" applyFill="1" applyBorder="1"/>
    <xf numFmtId="0" fontId="3" fillId="0" borderId="0" xfId="0" applyFont="1" applyBorder="1"/>
    <xf numFmtId="0" fontId="3" fillId="8" borderId="0" xfId="0" applyFont="1" applyFill="1"/>
    <xf numFmtId="0" fontId="3" fillId="8" borderId="5" xfId="0" applyFont="1" applyFill="1" applyBorder="1" applyAlignment="1">
      <alignment vertical="top" wrapText="1"/>
    </xf>
    <xf numFmtId="0" fontId="3" fillId="8" borderId="6" xfId="0" applyFont="1" applyFill="1" applyBorder="1" applyAlignment="1">
      <alignment horizontal="right" vertical="top"/>
    </xf>
    <xf numFmtId="0" fontId="2" fillId="8" borderId="3" xfId="0" applyFont="1" applyFill="1" applyBorder="1"/>
    <xf numFmtId="0" fontId="2" fillId="8" borderId="5" xfId="0" applyFont="1" applyFill="1" applyBorder="1" applyAlignment="1">
      <alignment horizontal="right" vertical="top"/>
    </xf>
    <xf numFmtId="0" fontId="2" fillId="8" borderId="18" xfId="0" applyFont="1" applyFill="1" applyBorder="1"/>
    <xf numFmtId="0" fontId="3" fillId="0" borderId="19" xfId="0" applyFont="1" applyBorder="1"/>
    <xf numFmtId="0" fontId="2" fillId="9" borderId="4" xfId="0" applyFont="1" applyFill="1" applyBorder="1" applyAlignment="1"/>
    <xf numFmtId="0" fontId="2" fillId="9" borderId="5" xfId="0" applyFont="1" applyFill="1" applyBorder="1" applyAlignment="1"/>
    <xf numFmtId="0" fontId="2" fillId="9" borderId="1" xfId="0" applyFont="1" applyFill="1" applyBorder="1"/>
    <xf numFmtId="9" fontId="2" fillId="9" borderId="1" xfId="0" applyNumberFormat="1" applyFont="1" applyFill="1" applyBorder="1"/>
    <xf numFmtId="9" fontId="2" fillId="9" borderId="4" xfId="0" applyNumberFormat="1" applyFont="1" applyFill="1" applyBorder="1"/>
    <xf numFmtId="0" fontId="2" fillId="6" borderId="16" xfId="0" applyFont="1" applyFill="1" applyBorder="1"/>
    <xf numFmtId="9" fontId="2" fillId="13" borderId="17" xfId="0" applyNumberFormat="1" applyFont="1" applyFill="1" applyBorder="1"/>
    <xf numFmtId="9" fontId="2" fillId="6" borderId="17" xfId="0" applyNumberFormat="1" applyFont="1" applyFill="1" applyBorder="1"/>
    <xf numFmtId="0" fontId="2" fillId="0" borderId="0" xfId="0" applyFont="1" applyFill="1" applyBorder="1" applyAlignment="1"/>
    <xf numFmtId="9" fontId="2" fillId="0" borderId="0" xfId="0" applyNumberFormat="1" applyFont="1" applyFill="1" applyBorder="1"/>
    <xf numFmtId="9" fontId="2" fillId="0" borderId="19" xfId="0" applyNumberFormat="1" applyFont="1" applyFill="1" applyBorder="1"/>
    <xf numFmtId="0" fontId="2" fillId="0" borderId="0" xfId="0" applyFont="1"/>
    <xf numFmtId="2" fontId="2" fillId="0" borderId="0" xfId="0" applyNumberFormat="1" applyFont="1" applyFill="1" applyAlignment="1">
      <alignment horizontal="right"/>
    </xf>
    <xf numFmtId="9" fontId="2" fillId="12" borderId="0" xfId="1" applyFont="1" applyFill="1"/>
    <xf numFmtId="0" fontId="2" fillId="0" borderId="0" xfId="0" applyFont="1" applyFill="1" applyAlignment="1">
      <alignment horizontal="right"/>
    </xf>
    <xf numFmtId="9" fontId="2" fillId="12" borderId="0" xfId="0" applyNumberFormat="1" applyFont="1" applyFill="1"/>
    <xf numFmtId="2" fontId="2" fillId="0" borderId="20" xfId="0" applyNumberFormat="1" applyFont="1" applyFill="1" applyBorder="1"/>
    <xf numFmtId="9" fontId="2" fillId="12" borderId="19" xfId="1" applyFont="1" applyFill="1" applyBorder="1"/>
    <xf numFmtId="0" fontId="2" fillId="0" borderId="0" xfId="0" applyFont="1" applyAlignment="1">
      <alignment horizontal="right"/>
    </xf>
    <xf numFmtId="0" fontId="2" fillId="0" borderId="21" xfId="0" applyFont="1" applyFill="1" applyBorder="1"/>
    <xf numFmtId="9" fontId="2" fillId="12" borderId="22" xfId="1" applyFont="1" applyFill="1" applyBorder="1"/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0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center" wrapText="1"/>
    </xf>
    <xf numFmtId="49" fontId="3" fillId="10" borderId="3" xfId="0" applyNumberFormat="1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49" fontId="3" fillId="7" borderId="1" xfId="0" applyNumberFormat="1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49" fontId="3" fillId="11" borderId="1" xfId="0" applyNumberFormat="1" applyFont="1" applyFill="1" applyBorder="1" applyAlignment="1">
      <alignment horizontal="center" vertical="top" wrapText="1"/>
    </xf>
    <xf numFmtId="0" fontId="3" fillId="8" borderId="0" xfId="0" applyFont="1" applyFill="1" applyBorder="1"/>
    <xf numFmtId="0" fontId="2" fillId="9" borderId="1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vertical="center"/>
    </xf>
    <xf numFmtId="0" fontId="7" fillId="0" borderId="0" xfId="0" applyFont="1"/>
    <xf numFmtId="0" fontId="8" fillId="0" borderId="10" xfId="0" applyFont="1" applyBorder="1"/>
    <xf numFmtId="9" fontId="7" fillId="0" borderId="6" xfId="1" applyFont="1" applyBorder="1"/>
    <xf numFmtId="9" fontId="7" fillId="0" borderId="1" xfId="1" applyFont="1" applyBorder="1"/>
    <xf numFmtId="0" fontId="8" fillId="0" borderId="11" xfId="0" applyFont="1" applyBorder="1"/>
    <xf numFmtId="0" fontId="7" fillId="0" borderId="10" xfId="0" applyFont="1" applyBorder="1"/>
    <xf numFmtId="0" fontId="7" fillId="0" borderId="6" xfId="0" applyFont="1" applyBorder="1"/>
    <xf numFmtId="0" fontId="7" fillId="0" borderId="1" xfId="0" applyFont="1" applyBorder="1"/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/>
    <xf numFmtId="0" fontId="7" fillId="0" borderId="0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23" xfId="0" applyFont="1" applyBorder="1" applyAlignment="1">
      <alignment vertical="center" wrapText="1"/>
    </xf>
    <xf numFmtId="9" fontId="10" fillId="0" borderId="7" xfId="0" applyNumberFormat="1" applyFont="1" applyBorder="1"/>
    <xf numFmtId="9" fontId="10" fillId="0" borderId="0" xfId="0" applyNumberFormat="1" applyFont="1"/>
    <xf numFmtId="0" fontId="10" fillId="0" borderId="0" xfId="0" applyFont="1"/>
    <xf numFmtId="0" fontId="7" fillId="0" borderId="6" xfId="0" applyFont="1" applyBorder="1" applyAlignment="1">
      <alignment vertical="center" wrapText="1"/>
    </xf>
    <xf numFmtId="9" fontId="10" fillId="0" borderId="4" xfId="1" applyFont="1" applyBorder="1"/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9" fontId="10" fillId="0" borderId="12" xfId="1" applyFont="1" applyBorder="1"/>
    <xf numFmtId="9" fontId="3" fillId="0" borderId="0" xfId="0" applyNumberFormat="1" applyFont="1"/>
    <xf numFmtId="0" fontId="7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1" wrapText="1"/>
    </xf>
    <xf numFmtId="0" fontId="2" fillId="0" borderId="9" xfId="0" applyFont="1" applyBorder="1" applyAlignment="1">
      <alignment horizontal="center" vertical="center" textRotation="1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6" borderId="15" xfId="0" applyFont="1" applyFill="1" applyBorder="1" applyAlignment="1">
      <alignment horizontal="center" vertical="center" textRotation="90" wrapText="1"/>
    </xf>
    <xf numFmtId="0" fontId="2" fillId="6" borderId="17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textRotation="90" wrapText="1"/>
    </xf>
    <xf numFmtId="0" fontId="2" fillId="6" borderId="1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right" vertical="top" wrapText="1"/>
    </xf>
    <xf numFmtId="0" fontId="3" fillId="2" borderId="23" xfId="0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right" vertical="top" wrapText="1"/>
    </xf>
    <xf numFmtId="0" fontId="3" fillId="11" borderId="4" xfId="0" applyFont="1" applyFill="1" applyBorder="1" applyAlignment="1">
      <alignment horizontal="right" vertical="top" wrapText="1"/>
    </xf>
    <xf numFmtId="0" fontId="3" fillId="11" borderId="6" xfId="0" applyFont="1" applyFill="1" applyBorder="1" applyAlignment="1">
      <alignment horizontal="right" vertical="top" wrapText="1"/>
    </xf>
    <xf numFmtId="0" fontId="3" fillId="8" borderId="4" xfId="0" applyFont="1" applyFill="1" applyBorder="1" applyAlignment="1">
      <alignment horizontal="right" vertical="top" wrapText="1"/>
    </xf>
    <xf numFmtId="0" fontId="3" fillId="8" borderId="6" xfId="0" applyFont="1" applyFill="1" applyBorder="1" applyAlignment="1">
      <alignment horizontal="right" vertical="top" wrapText="1"/>
    </xf>
    <xf numFmtId="0" fontId="7" fillId="16" borderId="1" xfId="0" applyFont="1" applyFill="1" applyBorder="1" applyAlignment="1">
      <alignment horizontal="center" vertical="center" textRotation="90"/>
    </xf>
    <xf numFmtId="0" fontId="7" fillId="14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7" fillId="14" borderId="1" xfId="0" applyFont="1" applyFill="1" applyBorder="1" applyAlignment="1">
      <alignment horizontal="center" vertical="center" textRotation="90"/>
    </xf>
    <xf numFmtId="0" fontId="7" fillId="15" borderId="1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8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10" fontId="7" fillId="0" borderId="8" xfId="1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0" borderId="8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7">
    <dxf>
      <font>
        <strike val="0"/>
        <outline val="0"/>
        <shadow val="0"/>
        <u val="none"/>
        <vertAlign val="baseline"/>
        <sz val="12"/>
        <color auto="1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</dxf>
  </dxfs>
  <tableStyles count="0" defaultTableStyle="TableStyleMedium9" defaultPivotStyle="PivotStyleLight16"/>
  <colors>
    <mruColors>
      <color rgb="FFFF6D4B"/>
      <color rgb="FFFF3300"/>
      <color rgb="FFDF7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1" i="0" baseline="0">
                <a:effectLst/>
              </a:rPr>
              <a:t>Результаты освоения предметного содержания параллели А</a:t>
            </a:r>
            <a:endParaRPr lang="ru-RU" sz="1400">
              <a:effectLst/>
            </a:endParaRPr>
          </a:p>
        </c:rich>
      </c:tx>
      <c:layout>
        <c:manualLayout>
          <c:xMode val="edge"/>
          <c:yMode val="edge"/>
          <c:x val="0.1425017307409395"/>
          <c:y val="4.19398256614638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3.888888888888889E-2"/>
                  <c:y val="6.944444444444447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3A-4991-84B8-96488C21D4AD}"/>
                </c:ext>
              </c:extLst>
            </c:dLbl>
            <c:dLbl>
              <c:idx val="1"/>
              <c:layout>
                <c:manualLayout>
                  <c:x val="-5.2777777777777764E-2"/>
                  <c:y val="-5.555555555555552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3A-4991-84B8-96488C21D4AD}"/>
                </c:ext>
              </c:extLst>
            </c:dLbl>
            <c:dLbl>
              <c:idx val="2"/>
              <c:layout>
                <c:manualLayout>
                  <c:x val="-2.2222222222222233E-2"/>
                  <c:y val="6.018518518518516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3A-4991-84B8-96488C21D4AD}"/>
                </c:ext>
              </c:extLst>
            </c:dLbl>
            <c:dLbl>
              <c:idx val="4"/>
              <c:layout>
                <c:manualLayout>
                  <c:x val="-3.888888888888889E-2"/>
                  <c:y val="6.018518518518516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3A-4991-84B8-96488C21D4AD}"/>
                </c:ext>
              </c:extLst>
            </c:dLbl>
            <c:dLbl>
              <c:idx val="5"/>
              <c:layout>
                <c:manualLayout>
                  <c:x val="-3.6111111111111122E-2"/>
                  <c:y val="-6.944444444444447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3A-4991-84B8-96488C21D4A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диагностика!$C$6:$C$11</c:f>
              <c:strCache>
                <c:ptCount val="6"/>
                <c:pt idx="0">
                  <c:v>1.1</c:v>
                </c:pt>
                <c:pt idx="1">
                  <c:v>1.4</c:v>
                </c:pt>
                <c:pt idx="2">
                  <c:v>2.1</c:v>
                </c:pt>
                <c:pt idx="3">
                  <c:v>3.1, 3.2</c:v>
                </c:pt>
                <c:pt idx="4">
                  <c:v>2.3</c:v>
                </c:pt>
                <c:pt idx="5">
                  <c:v>4.3, 5.2</c:v>
                </c:pt>
              </c:strCache>
            </c:strRef>
          </c:cat>
          <c:val>
            <c:numRef>
              <c:f>диагностика!$AM$6:$AM$11</c:f>
              <c:numCache>
                <c:formatCode>0%</c:formatCode>
                <c:ptCount val="6"/>
                <c:pt idx="0">
                  <c:v>0.9285714285714286</c:v>
                </c:pt>
                <c:pt idx="1">
                  <c:v>0.8571428571428571</c:v>
                </c:pt>
                <c:pt idx="2">
                  <c:v>0.8928571428571429</c:v>
                </c:pt>
                <c:pt idx="3">
                  <c:v>0.9285714285714286</c:v>
                </c:pt>
                <c:pt idx="4">
                  <c:v>0.9642857142857143</c:v>
                </c:pt>
                <c:pt idx="5">
                  <c:v>0.8571428571428571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F3A-4991-84B8-96488C21D4AD}"/>
            </c:ext>
          </c:extLst>
        </c:ser>
        <c:ser>
          <c:idx val="1"/>
          <c:order val="1"/>
          <c:tx>
            <c:v>Медина</c:v>
          </c:tx>
          <c:trendline>
            <c:trendlineType val="linear"/>
            <c:dispRSqr val="0"/>
            <c:dispEq val="0"/>
          </c:trendline>
          <c:val>
            <c:numRef>
              <c:f>диагностика!$AM$24</c:f>
              <c:numCache>
                <c:formatCode>0%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D5-4110-B491-9E2ECA413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6816"/>
        <c:axId val="101049088"/>
      </c:lineChart>
      <c:catAx>
        <c:axId val="10102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1049088"/>
        <c:crosses val="autoZero"/>
        <c:auto val="1"/>
        <c:lblAlgn val="ctr"/>
        <c:lblOffset val="100"/>
        <c:noMultiLvlLbl val="0"/>
      </c:catAx>
      <c:valAx>
        <c:axId val="1010490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102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1" i="0" baseline="0">
                <a:effectLst/>
              </a:rPr>
              <a:t>Результаты освоения предметного содержания параллели Б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</c:spPr>
          </c:marker>
          <c:dLbls>
            <c:dLbl>
              <c:idx val="0"/>
              <c:layout>
                <c:manualLayout>
                  <c:x val="-4.1666666666666664E-2"/>
                  <c:y val="-6.018518518518511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29-4518-9916-CAA64B17B860}"/>
                </c:ext>
              </c:extLst>
            </c:dLbl>
            <c:dLbl>
              <c:idx val="1"/>
              <c:layout>
                <c:manualLayout>
                  <c:x val="-4.7222222222222221E-2"/>
                  <c:y val="5.555555555555552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29-4518-9916-CAA64B17B860}"/>
                </c:ext>
              </c:extLst>
            </c:dLbl>
            <c:dLbl>
              <c:idx val="2"/>
              <c:layout>
                <c:manualLayout>
                  <c:x val="-1.9444444444444445E-2"/>
                  <c:y val="6.018518518518516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29-4518-9916-CAA64B17B860}"/>
                </c:ext>
              </c:extLst>
            </c:dLbl>
            <c:dLbl>
              <c:idx val="3"/>
              <c:layout>
                <c:manualLayout>
                  <c:x val="-4.1666666666666664E-2"/>
                  <c:y val="-6.48148148148147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29-4518-9916-CAA64B17B860}"/>
                </c:ext>
              </c:extLst>
            </c:dLbl>
            <c:dLbl>
              <c:idx val="5"/>
              <c:layout>
                <c:manualLayout>
                  <c:x val="-4.4444444444444467E-2"/>
                  <c:y val="-6.018518518518511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29-4518-9916-CAA64B17B8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диагностика!$C$6:$C$11</c:f>
              <c:strCache>
                <c:ptCount val="6"/>
                <c:pt idx="0">
                  <c:v>1.1</c:v>
                </c:pt>
                <c:pt idx="1">
                  <c:v>1.4</c:v>
                </c:pt>
                <c:pt idx="2">
                  <c:v>2.1</c:v>
                </c:pt>
                <c:pt idx="3">
                  <c:v>3.1, 3.2</c:v>
                </c:pt>
                <c:pt idx="4">
                  <c:v>2.3</c:v>
                </c:pt>
                <c:pt idx="5">
                  <c:v>4.3, 5.2</c:v>
                </c:pt>
              </c:strCache>
            </c:strRef>
          </c:cat>
          <c:val>
            <c:numRef>
              <c:f>диагностика!$BS$6:$BS$11</c:f>
              <c:numCache>
                <c:formatCode>0%</c:formatCode>
                <c:ptCount val="6"/>
                <c:pt idx="0">
                  <c:v>1</c:v>
                </c:pt>
                <c:pt idx="1">
                  <c:v>0.86956521739130432</c:v>
                </c:pt>
                <c:pt idx="2">
                  <c:v>0.86956521739130432</c:v>
                </c:pt>
                <c:pt idx="3">
                  <c:v>1</c:v>
                </c:pt>
                <c:pt idx="4">
                  <c:v>0.97101449275362317</c:v>
                </c:pt>
                <c:pt idx="5">
                  <c:v>0.95652173913043481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29-4518-9916-CAA64B17B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29920"/>
        <c:axId val="106531456"/>
      </c:lineChart>
      <c:catAx>
        <c:axId val="10652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6531456"/>
        <c:crosses val="autoZero"/>
        <c:auto val="1"/>
        <c:lblAlgn val="ctr"/>
        <c:lblOffset val="100"/>
        <c:noMultiLvlLbl val="0"/>
      </c:catAx>
      <c:valAx>
        <c:axId val="1065314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6529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1" i="0" baseline="0">
                <a:effectLst/>
              </a:rPr>
              <a:t>Результаты освоения предметного содержания</a:t>
            </a:r>
          </a:p>
          <a:p>
            <a:pPr>
              <a:defRPr/>
            </a:pPr>
            <a:r>
              <a:rPr lang="ru-RU" sz="1400" b="1" i="0" baseline="0">
                <a:effectLst/>
              </a:rPr>
              <a:t>обе параллели </a:t>
            </a:r>
            <a:endParaRPr lang="ru-RU" sz="14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-4.1666666666666664E-2"/>
                  <c:y val="-7.870370370370369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61-4A92-A44E-6373AE1CD373}"/>
                </c:ext>
              </c:extLst>
            </c:dLbl>
            <c:dLbl>
              <c:idx val="1"/>
              <c:layout>
                <c:manualLayout>
                  <c:x val="-4.1666666666666664E-2"/>
                  <c:y val="4.16666666666666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61-4A92-A44E-6373AE1CD373}"/>
                </c:ext>
              </c:extLst>
            </c:dLbl>
            <c:dLbl>
              <c:idx val="2"/>
              <c:layout>
                <c:manualLayout>
                  <c:x val="-4.4444444444444467E-2"/>
                  <c:y val="-6.944444444444447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61-4A92-A44E-6373AE1CD373}"/>
                </c:ext>
              </c:extLst>
            </c:dLbl>
            <c:dLbl>
              <c:idx val="3"/>
              <c:layout>
                <c:manualLayout>
                  <c:x val="-4.1666666666666623E-2"/>
                  <c:y val="-6.018518518518516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61-4A92-A44E-6373AE1CD373}"/>
                </c:ext>
              </c:extLst>
            </c:dLbl>
            <c:dLbl>
              <c:idx val="4"/>
              <c:layout>
                <c:manualLayout>
                  <c:x val="-4.1666666666666664E-2"/>
                  <c:y val="6.944444444444447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61-4A92-A44E-6373AE1CD373}"/>
                </c:ext>
              </c:extLst>
            </c:dLbl>
            <c:dLbl>
              <c:idx val="5"/>
              <c:layout>
                <c:manualLayout>
                  <c:x val="-0.05"/>
                  <c:y val="-7.407407407407402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61-4A92-A44E-6373AE1CD373}"/>
                </c:ext>
              </c:extLst>
            </c:dLbl>
            <c:dLbl>
              <c:idx val="6"/>
              <c:layout>
                <c:manualLayout>
                  <c:x val="-3.6111111111111122E-2"/>
                  <c:y val="5.092592592592592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61-4A92-A44E-6373AE1CD373}"/>
                </c:ext>
              </c:extLst>
            </c:dLbl>
            <c:dLbl>
              <c:idx val="7"/>
              <c:layout>
                <c:manualLayout>
                  <c:x val="-4.7222222222222235E-2"/>
                  <c:y val="-6.018518518518516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61-4A92-A44E-6373AE1CD373}"/>
                </c:ext>
              </c:extLst>
            </c:dLbl>
            <c:dLbl>
              <c:idx val="8"/>
              <c:layout>
                <c:manualLayout>
                  <c:x val="-8.3333333333333367E-3"/>
                  <c:y val="-5.555555555555552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61-4A92-A44E-6373AE1CD373}"/>
                </c:ext>
              </c:extLst>
            </c:dLbl>
            <c:dLbl>
              <c:idx val="10"/>
              <c:layout>
                <c:manualLayout>
                  <c:x val="-0.05"/>
                  <c:y val="-6.481481481481483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61-4A92-A44E-6373AE1CD3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диагностика!$C$6:$C$11</c:f>
              <c:strCache>
                <c:ptCount val="6"/>
                <c:pt idx="0">
                  <c:v>1.1</c:v>
                </c:pt>
                <c:pt idx="1">
                  <c:v>1.4</c:v>
                </c:pt>
                <c:pt idx="2">
                  <c:v>2.1</c:v>
                </c:pt>
                <c:pt idx="3">
                  <c:v>3.1, 3.2</c:v>
                </c:pt>
                <c:pt idx="4">
                  <c:v>2.3</c:v>
                </c:pt>
                <c:pt idx="5">
                  <c:v>4.3, 5.2</c:v>
                </c:pt>
              </c:strCache>
            </c:strRef>
          </c:cat>
          <c:val>
            <c:numRef>
              <c:f>диагностика!$BU$6:$BU$11</c:f>
              <c:numCache>
                <c:formatCode>0%</c:formatCode>
                <c:ptCount val="6"/>
                <c:pt idx="0">
                  <c:v>0.9642857142857143</c:v>
                </c:pt>
                <c:pt idx="1">
                  <c:v>0.86335403726708071</c:v>
                </c:pt>
                <c:pt idx="2">
                  <c:v>0.88121118012422361</c:v>
                </c:pt>
                <c:pt idx="3">
                  <c:v>0.9642857142857143</c:v>
                </c:pt>
                <c:pt idx="4">
                  <c:v>0.96765010351966874</c:v>
                </c:pt>
                <c:pt idx="5">
                  <c:v>0.9068322981366459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E61-4A92-A44E-6373AE1CD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85088"/>
        <c:axId val="106599168"/>
      </c:lineChart>
      <c:catAx>
        <c:axId val="10658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6599168"/>
        <c:crosses val="autoZero"/>
        <c:auto val="1"/>
        <c:lblAlgn val="ctr"/>
        <c:lblOffset val="100"/>
        <c:noMultiLvlLbl val="0"/>
      </c:catAx>
      <c:valAx>
        <c:axId val="1065991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658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>
                <a:solidFill>
                  <a:sysClr val="windowText" lastClr="000000"/>
                </a:solidFill>
              </a:rPr>
              <a:t>Сравнение</a:t>
            </a:r>
            <a:r>
              <a:rPr lang="ru-RU" b="1" baseline="0">
                <a:solidFill>
                  <a:sysClr val="windowText" lastClr="000000"/>
                </a:solidFill>
              </a:rPr>
              <a:t>  результатов относительно среднего значения</a:t>
            </a:r>
            <a:endParaRPr lang="ru-RU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2842027559055111E-2"/>
          <c:y val="0.19619564092789901"/>
          <c:w val="0.90424130577427819"/>
          <c:h val="0.73668582774278168"/>
        </c:manualLayout>
      </c:layout>
      <c:lineChart>
        <c:grouping val="standard"/>
        <c:varyColors val="0"/>
        <c:ser>
          <c:idx val="0"/>
          <c:order val="0"/>
          <c:tx>
            <c:v>1А класс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диагностика!$C$6:$C$11</c:f>
              <c:strCache>
                <c:ptCount val="6"/>
                <c:pt idx="0">
                  <c:v>1.1</c:v>
                </c:pt>
                <c:pt idx="1">
                  <c:v>1.4</c:v>
                </c:pt>
                <c:pt idx="2">
                  <c:v>2.1</c:v>
                </c:pt>
                <c:pt idx="3">
                  <c:v>3.1, 3.2</c:v>
                </c:pt>
                <c:pt idx="4">
                  <c:v>2.3</c:v>
                </c:pt>
                <c:pt idx="5">
                  <c:v>4.3, 5.2</c:v>
                </c:pt>
              </c:strCache>
            </c:strRef>
          </c:cat>
          <c:val>
            <c:numRef>
              <c:f>диагностика!$AM$6:$AM$11</c:f>
              <c:numCache>
                <c:formatCode>0%</c:formatCode>
                <c:ptCount val="6"/>
                <c:pt idx="0">
                  <c:v>0.9285714285714286</c:v>
                </c:pt>
                <c:pt idx="1">
                  <c:v>0.8571428571428571</c:v>
                </c:pt>
                <c:pt idx="2">
                  <c:v>0.8928571428571429</c:v>
                </c:pt>
                <c:pt idx="3">
                  <c:v>0.9285714285714286</c:v>
                </c:pt>
                <c:pt idx="4">
                  <c:v>0.9642857142857143</c:v>
                </c:pt>
                <c:pt idx="5">
                  <c:v>0.8571428571428571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7-4DF7-A041-919B2B28EA0F}"/>
            </c:ext>
          </c:extLst>
        </c:ser>
        <c:ser>
          <c:idx val="1"/>
          <c:order val="1"/>
          <c:tx>
            <c:v>1Б класс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диагностика!$C$6:$C$11</c:f>
              <c:strCache>
                <c:ptCount val="6"/>
                <c:pt idx="0">
                  <c:v>1.1</c:v>
                </c:pt>
                <c:pt idx="1">
                  <c:v>1.4</c:v>
                </c:pt>
                <c:pt idx="2">
                  <c:v>2.1</c:v>
                </c:pt>
                <c:pt idx="3">
                  <c:v>3.1, 3.2</c:v>
                </c:pt>
                <c:pt idx="4">
                  <c:v>2.3</c:v>
                </c:pt>
                <c:pt idx="5">
                  <c:v>4.3, 5.2</c:v>
                </c:pt>
              </c:strCache>
            </c:strRef>
          </c:cat>
          <c:val>
            <c:numRef>
              <c:f>диагностика!$BS$6:$BS$11</c:f>
              <c:numCache>
                <c:formatCode>0%</c:formatCode>
                <c:ptCount val="6"/>
                <c:pt idx="0">
                  <c:v>1</c:v>
                </c:pt>
                <c:pt idx="1">
                  <c:v>0.86956521739130432</c:v>
                </c:pt>
                <c:pt idx="2">
                  <c:v>0.86956521739130432</c:v>
                </c:pt>
                <c:pt idx="3">
                  <c:v>1</c:v>
                </c:pt>
                <c:pt idx="4">
                  <c:v>0.97101449275362317</c:v>
                </c:pt>
                <c:pt idx="5">
                  <c:v>0.95652173913043481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7-4DF7-A041-919B2B28EA0F}"/>
            </c:ext>
          </c:extLst>
        </c:ser>
        <c:ser>
          <c:idx val="2"/>
          <c:order val="2"/>
          <c:tx>
            <c:v>Среднее значение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диагностика!$C$6:$C$11</c:f>
              <c:strCache>
                <c:ptCount val="6"/>
                <c:pt idx="0">
                  <c:v>1.1</c:v>
                </c:pt>
                <c:pt idx="1">
                  <c:v>1.4</c:v>
                </c:pt>
                <c:pt idx="2">
                  <c:v>2.1</c:v>
                </c:pt>
                <c:pt idx="3">
                  <c:v>3.1, 3.2</c:v>
                </c:pt>
                <c:pt idx="4">
                  <c:v>2.3</c:v>
                </c:pt>
                <c:pt idx="5">
                  <c:v>4.3, 5.2</c:v>
                </c:pt>
              </c:strCache>
            </c:strRef>
          </c:cat>
          <c:val>
            <c:numRef>
              <c:f>диагностика!$BU$6:$BU$11</c:f>
              <c:numCache>
                <c:formatCode>0%</c:formatCode>
                <c:ptCount val="6"/>
                <c:pt idx="0">
                  <c:v>0.9642857142857143</c:v>
                </c:pt>
                <c:pt idx="1">
                  <c:v>0.86335403726708071</c:v>
                </c:pt>
                <c:pt idx="2">
                  <c:v>0.88121118012422361</c:v>
                </c:pt>
                <c:pt idx="3">
                  <c:v>0.9642857142857143</c:v>
                </c:pt>
                <c:pt idx="4">
                  <c:v>0.96765010351966874</c:v>
                </c:pt>
                <c:pt idx="5">
                  <c:v>0.9068322981366459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77-4DF7-A041-919B2B28E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17984"/>
        <c:axId val="107820160"/>
      </c:lineChart>
      <c:catAx>
        <c:axId val="10781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820160"/>
        <c:crosses val="autoZero"/>
        <c:auto val="1"/>
        <c:lblAlgn val="ctr"/>
        <c:lblOffset val="100"/>
        <c:noMultiLvlLbl val="0"/>
      </c:catAx>
      <c:valAx>
        <c:axId val="10782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817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>
                <a:solidFill>
                  <a:sysClr val="windowText" lastClr="000000"/>
                </a:solidFill>
              </a:rPr>
              <a:t>Сравнение</a:t>
            </a:r>
            <a:r>
              <a:rPr lang="ru-RU" b="1" baseline="0">
                <a:solidFill>
                  <a:sysClr val="windowText" lastClr="000000"/>
                </a:solidFill>
              </a:rPr>
              <a:t> результатов по параллелям</a:t>
            </a:r>
            <a:endParaRPr lang="ru-RU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Параллель А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диагностика!$AM$6:$AM$11</c:f>
              <c:numCache>
                <c:formatCode>0%</c:formatCode>
                <c:ptCount val="6"/>
                <c:pt idx="0">
                  <c:v>0.9285714285714286</c:v>
                </c:pt>
                <c:pt idx="1">
                  <c:v>0.8571428571428571</c:v>
                </c:pt>
                <c:pt idx="2">
                  <c:v>0.8928571428571429</c:v>
                </c:pt>
                <c:pt idx="3">
                  <c:v>0.9285714285714286</c:v>
                </c:pt>
                <c:pt idx="4">
                  <c:v>0.9642857142857143</c:v>
                </c:pt>
                <c:pt idx="5">
                  <c:v>0.8571428571428571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0-4E11-A76F-66451AF3EFA3}"/>
            </c:ext>
          </c:extLst>
        </c:ser>
        <c:ser>
          <c:idx val="1"/>
          <c:order val="1"/>
          <c:tx>
            <c:v>Параллель Б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диагностика!$BS$6:$BS$11</c:f>
              <c:numCache>
                <c:formatCode>0%</c:formatCode>
                <c:ptCount val="6"/>
                <c:pt idx="0">
                  <c:v>1</c:v>
                </c:pt>
                <c:pt idx="1">
                  <c:v>0.86956521739130432</c:v>
                </c:pt>
                <c:pt idx="2">
                  <c:v>0.86956521739130432</c:v>
                </c:pt>
                <c:pt idx="3">
                  <c:v>1</c:v>
                </c:pt>
                <c:pt idx="4">
                  <c:v>0.97101449275362317</c:v>
                </c:pt>
                <c:pt idx="5">
                  <c:v>0.95652173913043481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70-4E11-A76F-66451AF3EF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7549056"/>
        <c:axId val="107550592"/>
        <c:axId val="0"/>
      </c:bar3DChart>
      <c:catAx>
        <c:axId val="107549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550592"/>
        <c:crosses val="autoZero"/>
        <c:auto val="1"/>
        <c:lblAlgn val="ctr"/>
        <c:lblOffset val="100"/>
        <c:noMultiLvlLbl val="0"/>
      </c:catAx>
      <c:valAx>
        <c:axId val="10755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54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СТАРТОВАЯ</a:t>
            </a:r>
            <a:r>
              <a:rPr lang="ru-RU" sz="1200" baseline="0"/>
              <a:t> РАБОТА</a:t>
            </a:r>
            <a:endParaRPr lang="ru-RU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Параллель 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'УУД 1-5 классы'!$H$4:$R$4</c:f>
              <c:numCache>
                <c:formatCode>0%</c:formatCode>
                <c:ptCount val="11"/>
                <c:pt idx="0">
                  <c:v>0</c:v>
                </c:pt>
                <c:pt idx="1">
                  <c:v>1.8928571428571428</c:v>
                </c:pt>
                <c:pt idx="2">
                  <c:v>0</c:v>
                </c:pt>
                <c:pt idx="3">
                  <c:v>0.8571428571428571</c:v>
                </c:pt>
                <c:pt idx="4">
                  <c:v>0</c:v>
                </c:pt>
                <c:pt idx="5">
                  <c:v>1.75</c:v>
                </c:pt>
                <c:pt idx="6">
                  <c:v>0</c:v>
                </c:pt>
                <c:pt idx="7">
                  <c:v>0.9285714285714286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5-445D-8057-FACA5E23B0D1}"/>
            </c:ext>
          </c:extLst>
        </c:ser>
        <c:ser>
          <c:idx val="1"/>
          <c:order val="1"/>
          <c:tx>
            <c:v>Параллель Б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'УУД 1-5 классы'!$T$4:$AD$4</c:f>
              <c:numCache>
                <c:formatCode>0%</c:formatCode>
                <c:ptCount val="11"/>
                <c:pt idx="0">
                  <c:v>0</c:v>
                </c:pt>
                <c:pt idx="1">
                  <c:v>1.9710144927536231</c:v>
                </c:pt>
                <c:pt idx="2">
                  <c:v>0</c:v>
                </c:pt>
                <c:pt idx="3">
                  <c:v>0.86956521739130432</c:v>
                </c:pt>
                <c:pt idx="4">
                  <c:v>0</c:v>
                </c:pt>
                <c:pt idx="5">
                  <c:v>1.8260869565217392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5-445D-8057-FACA5E23B0D1}"/>
            </c:ext>
          </c:extLst>
        </c:ser>
        <c:ser>
          <c:idx val="2"/>
          <c:order val="2"/>
          <c:tx>
            <c:v>Обе параллели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'УУД 1-5 классы'!$AF$4:$AP$4</c:f>
              <c:numCache>
                <c:formatCode>0%</c:formatCode>
                <c:ptCount val="11"/>
                <c:pt idx="0">
                  <c:v>0</c:v>
                </c:pt>
                <c:pt idx="1">
                  <c:v>1.9319358178053831</c:v>
                </c:pt>
                <c:pt idx="2">
                  <c:v>0</c:v>
                </c:pt>
                <c:pt idx="3">
                  <c:v>0.86335403726708071</c:v>
                </c:pt>
                <c:pt idx="4">
                  <c:v>0</c:v>
                </c:pt>
                <c:pt idx="5">
                  <c:v>1.7880434782608696</c:v>
                </c:pt>
                <c:pt idx="6">
                  <c:v>0</c:v>
                </c:pt>
                <c:pt idx="7">
                  <c:v>0.9642857142857143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5-445D-8057-FACA5E23B0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07656320"/>
        <c:axId val="107657856"/>
      </c:barChart>
      <c:catAx>
        <c:axId val="107656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657856"/>
        <c:crosses val="autoZero"/>
        <c:auto val="1"/>
        <c:lblAlgn val="ctr"/>
        <c:lblOffset val="100"/>
        <c:noMultiLvlLbl val="0"/>
      </c:catAx>
      <c:valAx>
        <c:axId val="1076578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765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СРЕЗОВАЯ РАБОТА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Параллель 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'УУД 1-5 классы'!$H$5:$R$5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B-4446-96A0-010C46AC67E1}"/>
            </c:ext>
          </c:extLst>
        </c:ser>
        <c:ser>
          <c:idx val="1"/>
          <c:order val="1"/>
          <c:tx>
            <c:v>Параллель Б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'УУД 1-5 классы'!$T$5:$AD$5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B-4446-96A0-010C46AC67E1}"/>
            </c:ext>
          </c:extLst>
        </c:ser>
        <c:ser>
          <c:idx val="2"/>
          <c:order val="2"/>
          <c:tx>
            <c:v>Обе параллели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'УУД 1-5 классы'!$AF$5:$AP$5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7B-4446-96A0-010C46AC67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07725952"/>
        <c:axId val="107727488"/>
      </c:barChart>
      <c:catAx>
        <c:axId val="107725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727488"/>
        <c:crosses val="autoZero"/>
        <c:auto val="1"/>
        <c:lblAlgn val="ctr"/>
        <c:lblOffset val="100"/>
        <c:noMultiLvlLbl val="0"/>
      </c:catAx>
      <c:valAx>
        <c:axId val="1077274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772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7406</xdr:colOff>
      <xdr:row>25</xdr:row>
      <xdr:rowOff>8467</xdr:rowOff>
    </xdr:from>
    <xdr:to>
      <xdr:col>12</xdr:col>
      <xdr:colOff>285749</xdr:colOff>
      <xdr:row>42</xdr:row>
      <xdr:rowOff>0</xdr:rowOff>
    </xdr:to>
    <xdr:graphicFrame macro="">
      <xdr:nvGraphicFramePr>
        <xdr:cNvPr id="563254" name="Диаграмма 2">
          <a:extLst>
            <a:ext uri="{FF2B5EF4-FFF2-40B4-BE49-F238E27FC236}">
              <a16:creationId xmlns:a16="http://schemas.microsoft.com/office/drawing/2014/main" id="{00000000-0008-0000-0000-00003698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127000</xdr:colOff>
      <xdr:row>25</xdr:row>
      <xdr:rowOff>17991</xdr:rowOff>
    </xdr:from>
    <xdr:to>
      <xdr:col>30</xdr:col>
      <xdr:colOff>127000</xdr:colOff>
      <xdr:row>42</xdr:row>
      <xdr:rowOff>8466</xdr:rowOff>
    </xdr:to>
    <xdr:graphicFrame macro="">
      <xdr:nvGraphicFramePr>
        <xdr:cNvPr id="563255" name="Диаграмма 3">
          <a:extLst>
            <a:ext uri="{FF2B5EF4-FFF2-40B4-BE49-F238E27FC236}">
              <a16:creationId xmlns:a16="http://schemas.microsoft.com/office/drawing/2014/main" id="{00000000-0008-0000-0000-00003798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</xdr:colOff>
      <xdr:row>25</xdr:row>
      <xdr:rowOff>27517</xdr:rowOff>
    </xdr:from>
    <xdr:to>
      <xdr:col>47</xdr:col>
      <xdr:colOff>306916</xdr:colOff>
      <xdr:row>41</xdr:row>
      <xdr:rowOff>148167</xdr:rowOff>
    </xdr:to>
    <xdr:graphicFrame macro="">
      <xdr:nvGraphicFramePr>
        <xdr:cNvPr id="563256" name="Диаграмма 4">
          <a:extLst>
            <a:ext uri="{FF2B5EF4-FFF2-40B4-BE49-F238E27FC236}">
              <a16:creationId xmlns:a16="http://schemas.microsoft.com/office/drawing/2014/main" id="{00000000-0008-0000-0000-00003898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61</xdr:col>
      <xdr:colOff>190498</xdr:colOff>
      <xdr:row>25</xdr:row>
      <xdr:rowOff>0</xdr:rowOff>
    </xdr:from>
    <xdr:to>
      <xdr:col>73</xdr:col>
      <xdr:colOff>10583</xdr:colOff>
      <xdr:row>42</xdr:row>
      <xdr:rowOff>10583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88B460D2-B258-4B84-B2F2-1C1EDDD6D1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48</xdr:col>
      <xdr:colOff>148166</xdr:colOff>
      <xdr:row>25</xdr:row>
      <xdr:rowOff>21167</xdr:rowOff>
    </xdr:from>
    <xdr:to>
      <xdr:col>60</xdr:col>
      <xdr:colOff>306916</xdr:colOff>
      <xdr:row>41</xdr:row>
      <xdr:rowOff>137583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78147E3F-0596-4D5A-A460-655C22AE1D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104775</xdr:rowOff>
    </xdr:from>
    <xdr:to>
      <xdr:col>11</xdr:col>
      <xdr:colOff>590550</xdr:colOff>
      <xdr:row>11</xdr:row>
      <xdr:rowOff>276226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4D5B6F6-CD0C-4935-B7FC-48E305DFB3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342900</xdr:colOff>
      <xdr:row>7</xdr:row>
      <xdr:rowOff>114300</xdr:rowOff>
    </xdr:from>
    <xdr:to>
      <xdr:col>19</xdr:col>
      <xdr:colOff>295275</xdr:colOff>
      <xdr:row>11</xdr:row>
      <xdr:rowOff>323850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478C004-2C34-41C8-9B12-FECA6AA71F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B32" totalsRowShown="0" headerRowDxfId="6" dataDxfId="4" headerRowBorderDxfId="5" tableBorderDxfId="3" totalsRowBorderDxfId="2">
  <autoFilter ref="A1:B32" xr:uid="{00000000-0009-0000-0100-000001000000}"/>
  <tableColumns count="2">
    <tableColumn id="1" xr3:uid="{00000000-0010-0000-0000-000001000000}" name="Столбец1" dataDxfId="1"/>
    <tableColumn id="2" xr3:uid="{00000000-0010-0000-0000-000002000000}" name="Столбец2" dataDxfId="0" dataCellStyle="Процентный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25"/>
  <sheetViews>
    <sheetView topLeftCell="AA1" zoomScale="90" zoomScaleNormal="90" workbookViewId="0">
      <pane ySplit="5" topLeftCell="A6" activePane="bottomLeft" state="frozen"/>
      <selection pane="bottomLeft" activeCell="AN5" sqref="AN5:BQ5"/>
    </sheetView>
  </sheetViews>
  <sheetFormatPr defaultRowHeight="15" x14ac:dyDescent="0.25"/>
  <cols>
    <col min="1" max="1" width="3.7109375" style="7" customWidth="1"/>
    <col min="2" max="2" width="30.5703125" style="7" customWidth="1"/>
    <col min="3" max="3" width="6.85546875" style="7" customWidth="1"/>
    <col min="4" max="4" width="4.28515625" style="7" customWidth="1"/>
    <col min="5" max="5" width="5.85546875" style="7" customWidth="1"/>
    <col min="6" max="6" width="4.7109375" style="7" customWidth="1"/>
    <col min="7" max="16" width="5.7109375" style="7" bestFit="1" customWidth="1"/>
    <col min="17" max="17" width="6.28515625" style="7" bestFit="1" customWidth="1"/>
    <col min="18" max="18" width="5.7109375" style="7" bestFit="1" customWidth="1"/>
    <col min="19" max="20" width="6.28515625" style="7" bestFit="1" customWidth="1"/>
    <col min="21" max="21" width="5.7109375" style="7" bestFit="1" customWidth="1"/>
    <col min="22" max="22" width="5.7109375" style="7" customWidth="1"/>
    <col min="23" max="24" width="5.7109375" style="7" bestFit="1" customWidth="1"/>
    <col min="25" max="25" width="6.28515625" style="7" bestFit="1" customWidth="1"/>
    <col min="26" max="26" width="5.7109375" style="7" bestFit="1" customWidth="1"/>
    <col min="27" max="27" width="6.28515625" style="7" bestFit="1" customWidth="1"/>
    <col min="28" max="28" width="5.7109375" style="7" bestFit="1" customWidth="1"/>
    <col min="29" max="37" width="5.5703125" style="7" customWidth="1"/>
    <col min="38" max="38" width="6.85546875" style="7" customWidth="1"/>
    <col min="39" max="39" width="13.140625" style="7" customWidth="1"/>
    <col min="40" max="40" width="4.85546875" style="7" customWidth="1"/>
    <col min="41" max="41" width="5.7109375" style="7" bestFit="1" customWidth="1"/>
    <col min="42" max="43" width="4.85546875" style="7" customWidth="1"/>
    <col min="44" max="44" width="5.28515625" style="7" bestFit="1" customWidth="1"/>
    <col min="45" max="48" width="4.85546875" style="7" customWidth="1"/>
    <col min="49" max="49" width="6.28515625" style="7" bestFit="1" customWidth="1"/>
    <col min="50" max="52" width="4.85546875" style="7" customWidth="1"/>
    <col min="53" max="53" width="6.28515625" style="7" bestFit="1" customWidth="1"/>
    <col min="54" max="54" width="4.85546875" style="7" customWidth="1"/>
    <col min="55" max="57" width="6.28515625" style="7" bestFit="1" customWidth="1"/>
    <col min="58" max="61" width="4.85546875" style="7" customWidth="1"/>
    <col min="62" max="62" width="6.28515625" style="7" bestFit="1" customWidth="1"/>
    <col min="63" max="67" width="4.85546875" style="7" customWidth="1"/>
    <col min="68" max="68" width="6.28515625" style="7" bestFit="1" customWidth="1"/>
    <col min="69" max="69" width="4.85546875" style="7" customWidth="1"/>
    <col min="70" max="70" width="7" style="7" customWidth="1"/>
    <col min="71" max="71" width="13.28515625" style="7" customWidth="1"/>
    <col min="72" max="72" width="13.85546875" style="7" customWidth="1"/>
    <col min="73" max="73" width="12.7109375" style="7" customWidth="1"/>
    <col min="74" max="74" width="7.28515625" style="7" customWidth="1"/>
    <col min="75" max="16384" width="9.140625" style="7"/>
  </cols>
  <sheetData>
    <row r="1" spans="1:73" ht="19.5" customHeight="1" thickBot="1" x14ac:dyDescent="0.3">
      <c r="A1" s="6"/>
      <c r="B1" s="158" t="s">
        <v>195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60"/>
      <c r="BU1" s="160"/>
    </row>
    <row r="2" spans="1:73" ht="6.75" customHeight="1" x14ac:dyDescent="0.25">
      <c r="A2" s="143" t="s">
        <v>0</v>
      </c>
      <c r="B2" s="144" t="s">
        <v>23</v>
      </c>
      <c r="C2" s="8"/>
      <c r="D2" s="147" t="s">
        <v>2</v>
      </c>
      <c r="E2" s="150" t="s">
        <v>63</v>
      </c>
      <c r="F2" s="147" t="s">
        <v>1</v>
      </c>
      <c r="G2" s="161" t="s">
        <v>17</v>
      </c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3"/>
      <c r="AL2" s="170" t="s">
        <v>5</v>
      </c>
      <c r="AM2" s="144" t="s">
        <v>13</v>
      </c>
      <c r="AN2" s="172" t="s">
        <v>26</v>
      </c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0" t="s">
        <v>5</v>
      </c>
      <c r="BS2" s="161" t="s">
        <v>12</v>
      </c>
      <c r="BT2" s="173" t="s">
        <v>8</v>
      </c>
      <c r="BU2" s="153" t="s">
        <v>12</v>
      </c>
    </row>
    <row r="3" spans="1:73" ht="12" hidden="1" customHeight="1" x14ac:dyDescent="0.25">
      <c r="A3" s="143"/>
      <c r="B3" s="145"/>
      <c r="C3" s="9"/>
      <c r="D3" s="148"/>
      <c r="E3" s="150"/>
      <c r="F3" s="148"/>
      <c r="G3" s="164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6"/>
      <c r="AL3" s="170"/>
      <c r="AM3" s="145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0"/>
      <c r="BS3" s="164"/>
      <c r="BT3" s="174"/>
      <c r="BU3" s="154"/>
    </row>
    <row r="4" spans="1:73" ht="7.5" customHeight="1" x14ac:dyDescent="0.25">
      <c r="A4" s="143"/>
      <c r="B4" s="145"/>
      <c r="C4" s="9"/>
      <c r="D4" s="148"/>
      <c r="E4" s="150"/>
      <c r="F4" s="148"/>
      <c r="G4" s="167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9"/>
      <c r="AL4" s="170"/>
      <c r="AM4" s="145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70"/>
      <c r="BS4" s="164"/>
      <c r="BT4" s="174"/>
      <c r="BU4" s="154"/>
    </row>
    <row r="5" spans="1:73" ht="102" customHeight="1" thickBot="1" x14ac:dyDescent="0.3">
      <c r="A5" s="143"/>
      <c r="B5" s="146"/>
      <c r="C5" s="10" t="s">
        <v>24</v>
      </c>
      <c r="D5" s="149"/>
      <c r="E5" s="151"/>
      <c r="F5" s="152"/>
      <c r="G5" s="142" t="s">
        <v>196</v>
      </c>
      <c r="H5" s="142" t="s">
        <v>196</v>
      </c>
      <c r="I5" s="142" t="s">
        <v>196</v>
      </c>
      <c r="J5" s="142" t="s">
        <v>196</v>
      </c>
      <c r="K5" s="142" t="s">
        <v>196</v>
      </c>
      <c r="L5" s="142" t="s">
        <v>196</v>
      </c>
      <c r="M5" s="142" t="s">
        <v>196</v>
      </c>
      <c r="N5" s="142" t="s">
        <v>196</v>
      </c>
      <c r="O5" s="142" t="s">
        <v>196</v>
      </c>
      <c r="P5" s="142" t="s">
        <v>196</v>
      </c>
      <c r="Q5" s="142" t="s">
        <v>196</v>
      </c>
      <c r="R5" s="142" t="s">
        <v>196</v>
      </c>
      <c r="S5" s="142" t="s">
        <v>196</v>
      </c>
      <c r="T5" s="142" t="s">
        <v>196</v>
      </c>
      <c r="U5" s="142" t="s">
        <v>196</v>
      </c>
      <c r="V5" s="142" t="s">
        <v>196</v>
      </c>
      <c r="W5" s="142" t="s">
        <v>196</v>
      </c>
      <c r="X5" s="142" t="s">
        <v>196</v>
      </c>
      <c r="Y5" s="142" t="s">
        <v>196</v>
      </c>
      <c r="Z5" s="142" t="s">
        <v>196</v>
      </c>
      <c r="AA5" s="142" t="s">
        <v>196</v>
      </c>
      <c r="AB5" s="142" t="s">
        <v>196</v>
      </c>
      <c r="AC5" s="142" t="s">
        <v>196</v>
      </c>
      <c r="AD5" s="142" t="s">
        <v>196</v>
      </c>
      <c r="AE5" s="142" t="s">
        <v>196</v>
      </c>
      <c r="AF5" s="142" t="s">
        <v>196</v>
      </c>
      <c r="AG5" s="142" t="s">
        <v>196</v>
      </c>
      <c r="AH5" s="142" t="s">
        <v>196</v>
      </c>
      <c r="AI5" s="142" t="s">
        <v>196</v>
      </c>
      <c r="AJ5" s="142" t="s">
        <v>196</v>
      </c>
      <c r="AK5" s="142" t="s">
        <v>196</v>
      </c>
      <c r="AL5" s="171"/>
      <c r="AM5" s="167"/>
      <c r="AN5" s="142" t="s">
        <v>197</v>
      </c>
      <c r="AO5" s="142" t="s">
        <v>197</v>
      </c>
      <c r="AP5" s="142" t="s">
        <v>197</v>
      </c>
      <c r="AQ5" s="142" t="s">
        <v>197</v>
      </c>
      <c r="AR5" s="142" t="s">
        <v>197</v>
      </c>
      <c r="AS5" s="142" t="s">
        <v>197</v>
      </c>
      <c r="AT5" s="142" t="s">
        <v>197</v>
      </c>
      <c r="AU5" s="142" t="s">
        <v>197</v>
      </c>
      <c r="AV5" s="142" t="s">
        <v>197</v>
      </c>
      <c r="AW5" s="142" t="s">
        <v>197</v>
      </c>
      <c r="AX5" s="142" t="s">
        <v>197</v>
      </c>
      <c r="AY5" s="142" t="s">
        <v>197</v>
      </c>
      <c r="AZ5" s="142" t="s">
        <v>197</v>
      </c>
      <c r="BA5" s="142" t="s">
        <v>197</v>
      </c>
      <c r="BB5" s="142" t="s">
        <v>197</v>
      </c>
      <c r="BC5" s="142" t="s">
        <v>197</v>
      </c>
      <c r="BD5" s="142" t="s">
        <v>197</v>
      </c>
      <c r="BE5" s="142" t="s">
        <v>197</v>
      </c>
      <c r="BF5" s="142" t="s">
        <v>197</v>
      </c>
      <c r="BG5" s="142" t="s">
        <v>197</v>
      </c>
      <c r="BH5" s="142" t="s">
        <v>197</v>
      </c>
      <c r="BI5" s="142" t="s">
        <v>197</v>
      </c>
      <c r="BJ5" s="142" t="s">
        <v>197</v>
      </c>
      <c r="BK5" s="142" t="s">
        <v>197</v>
      </c>
      <c r="BL5" s="142" t="s">
        <v>197</v>
      </c>
      <c r="BM5" s="142" t="s">
        <v>197</v>
      </c>
      <c r="BN5" s="142" t="s">
        <v>197</v>
      </c>
      <c r="BO5" s="142" t="s">
        <v>197</v>
      </c>
      <c r="BP5" s="142" t="s">
        <v>197</v>
      </c>
      <c r="BQ5" s="142" t="s">
        <v>197</v>
      </c>
      <c r="BR5" s="171"/>
      <c r="BS5" s="167"/>
      <c r="BT5" s="174"/>
      <c r="BU5" s="154"/>
    </row>
    <row r="6" spans="1:73" ht="30.75" thickBot="1" x14ac:dyDescent="0.3">
      <c r="A6" s="7">
        <v>1</v>
      </c>
      <c r="B6" s="4" t="s">
        <v>182</v>
      </c>
      <c r="C6" s="12" t="s">
        <v>181</v>
      </c>
      <c r="D6" s="11">
        <v>1</v>
      </c>
      <c r="E6" s="77" t="s">
        <v>90</v>
      </c>
      <c r="F6" s="4" t="s">
        <v>62</v>
      </c>
      <c r="G6" s="13">
        <v>1</v>
      </c>
      <c r="H6" s="13">
        <v>1</v>
      </c>
      <c r="I6" s="13"/>
      <c r="J6" s="13"/>
      <c r="K6" s="13">
        <v>1</v>
      </c>
      <c r="L6" s="13">
        <v>1</v>
      </c>
      <c r="M6" s="13">
        <v>1</v>
      </c>
      <c r="N6" s="13"/>
      <c r="O6" s="13">
        <v>1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U6" s="13">
        <v>1</v>
      </c>
      <c r="V6" s="13">
        <v>1</v>
      </c>
      <c r="W6" s="13">
        <v>1</v>
      </c>
      <c r="X6" s="13">
        <v>1</v>
      </c>
      <c r="Y6" s="13">
        <v>1</v>
      </c>
      <c r="Z6" s="13">
        <v>0</v>
      </c>
      <c r="AA6" s="13">
        <v>1</v>
      </c>
      <c r="AB6" s="13">
        <v>1</v>
      </c>
      <c r="AC6" s="13">
        <v>1</v>
      </c>
      <c r="AD6" s="13">
        <v>0</v>
      </c>
      <c r="AE6" s="13">
        <v>1</v>
      </c>
      <c r="AF6" s="13">
        <v>1</v>
      </c>
      <c r="AG6" s="13">
        <v>1</v>
      </c>
      <c r="AH6" s="13">
        <v>1</v>
      </c>
      <c r="AI6" s="13">
        <v>1</v>
      </c>
      <c r="AJ6" s="13">
        <v>1</v>
      </c>
      <c r="AK6" s="13">
        <v>1</v>
      </c>
      <c r="AL6" s="14">
        <f t="shared" ref="AL6:AL11" si="0">SUM(G6:AK6)</f>
        <v>26</v>
      </c>
      <c r="AM6" s="15">
        <f t="shared" ref="AM6:AM11" si="1">AL6/($D$15*D6)</f>
        <v>0.9285714285714286</v>
      </c>
      <c r="AN6" s="13">
        <v>1</v>
      </c>
      <c r="AO6" s="13"/>
      <c r="AP6" s="13">
        <v>1</v>
      </c>
      <c r="AQ6" s="13"/>
      <c r="AR6" s="13">
        <v>1</v>
      </c>
      <c r="AS6" s="13">
        <v>1</v>
      </c>
      <c r="AT6" s="13">
        <v>1</v>
      </c>
      <c r="AU6" s="13">
        <v>1</v>
      </c>
      <c r="AV6" s="13">
        <v>1</v>
      </c>
      <c r="AW6" s="13"/>
      <c r="AX6" s="13">
        <v>1</v>
      </c>
      <c r="AY6" s="13">
        <v>1</v>
      </c>
      <c r="AZ6" s="13"/>
      <c r="BA6" s="13">
        <v>1</v>
      </c>
      <c r="BB6" s="13"/>
      <c r="BC6" s="13">
        <v>1</v>
      </c>
      <c r="BD6" s="13">
        <v>1</v>
      </c>
      <c r="BE6" s="13">
        <v>1</v>
      </c>
      <c r="BF6" s="13">
        <v>1</v>
      </c>
      <c r="BG6" s="13">
        <v>1</v>
      </c>
      <c r="BH6" s="13">
        <v>1</v>
      </c>
      <c r="BI6" s="13"/>
      <c r="BJ6" s="13">
        <v>1</v>
      </c>
      <c r="BK6" s="13">
        <v>1</v>
      </c>
      <c r="BL6" s="13"/>
      <c r="BM6" s="13">
        <v>1</v>
      </c>
      <c r="BN6" s="13">
        <v>1</v>
      </c>
      <c r="BO6" s="13">
        <v>1</v>
      </c>
      <c r="BP6" s="13">
        <v>1</v>
      </c>
      <c r="BQ6" s="13">
        <v>1</v>
      </c>
      <c r="BR6" s="16">
        <f t="shared" ref="BR6:BR11" si="2">SUM(AN6:BQ6)</f>
        <v>23</v>
      </c>
      <c r="BS6" s="17">
        <f t="shared" ref="BS6:BS11" si="3">BR6/($AR$15*D6)</f>
        <v>1</v>
      </c>
      <c r="BT6" s="18">
        <f t="shared" ref="BT6:BT11" si="4">BR6+AL6</f>
        <v>49</v>
      </c>
      <c r="BU6" s="19">
        <f t="shared" ref="BU6:BU11" si="5">(BS6+AM6)/2</f>
        <v>0.9642857142857143</v>
      </c>
    </row>
    <row r="7" spans="1:73" ht="15.75" thickBot="1" x14ac:dyDescent="0.3">
      <c r="A7" s="7">
        <v>2</v>
      </c>
      <c r="B7" s="4" t="s">
        <v>180</v>
      </c>
      <c r="C7" s="21" t="s">
        <v>183</v>
      </c>
      <c r="D7" s="20">
        <v>1</v>
      </c>
      <c r="E7" s="77" t="s">
        <v>92</v>
      </c>
      <c r="F7" s="4" t="s">
        <v>61</v>
      </c>
      <c r="G7" s="13">
        <v>1</v>
      </c>
      <c r="H7" s="13">
        <v>0</v>
      </c>
      <c r="I7" s="13"/>
      <c r="J7" s="13"/>
      <c r="K7" s="13">
        <v>1</v>
      </c>
      <c r="L7" s="13">
        <v>1</v>
      </c>
      <c r="M7" s="13">
        <v>1</v>
      </c>
      <c r="N7" s="13"/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1</v>
      </c>
      <c r="Z7" s="13">
        <v>1</v>
      </c>
      <c r="AA7" s="13">
        <v>0</v>
      </c>
      <c r="AB7" s="13">
        <v>1</v>
      </c>
      <c r="AC7" s="13">
        <v>0</v>
      </c>
      <c r="AD7" s="13">
        <v>0</v>
      </c>
      <c r="AE7" s="13">
        <v>1</v>
      </c>
      <c r="AF7" s="13">
        <v>1</v>
      </c>
      <c r="AG7" s="13">
        <v>1</v>
      </c>
      <c r="AH7" s="13">
        <v>1</v>
      </c>
      <c r="AI7" s="13">
        <v>1</v>
      </c>
      <c r="AJ7" s="13">
        <v>1</v>
      </c>
      <c r="AK7" s="13">
        <v>1</v>
      </c>
      <c r="AL7" s="14">
        <f t="shared" si="0"/>
        <v>24</v>
      </c>
      <c r="AM7" s="15">
        <f t="shared" si="1"/>
        <v>0.8571428571428571</v>
      </c>
      <c r="AN7" s="13">
        <v>1</v>
      </c>
      <c r="AO7" s="13"/>
      <c r="AP7" s="13">
        <v>1</v>
      </c>
      <c r="AQ7" s="13"/>
      <c r="AR7" s="13">
        <v>1</v>
      </c>
      <c r="AS7" s="13">
        <v>1</v>
      </c>
      <c r="AT7" s="13">
        <v>0</v>
      </c>
      <c r="AU7" s="13">
        <v>1</v>
      </c>
      <c r="AV7" s="13">
        <v>1</v>
      </c>
      <c r="AW7" s="13"/>
      <c r="AX7" s="13">
        <v>1</v>
      </c>
      <c r="AY7" s="13">
        <v>1</v>
      </c>
      <c r="AZ7" s="13"/>
      <c r="BA7" s="13">
        <v>1</v>
      </c>
      <c r="BB7" s="13"/>
      <c r="BC7" s="13">
        <v>1</v>
      </c>
      <c r="BD7" s="13">
        <v>1</v>
      </c>
      <c r="BE7" s="13">
        <v>1</v>
      </c>
      <c r="BF7" s="13">
        <v>1</v>
      </c>
      <c r="BG7" s="13">
        <v>1</v>
      </c>
      <c r="BH7" s="13">
        <v>0</v>
      </c>
      <c r="BI7" s="13"/>
      <c r="BJ7" s="13">
        <v>1</v>
      </c>
      <c r="BK7" s="13">
        <v>1</v>
      </c>
      <c r="BL7" s="13"/>
      <c r="BM7" s="13">
        <v>0</v>
      </c>
      <c r="BN7" s="13">
        <v>1</v>
      </c>
      <c r="BO7" s="13">
        <v>1</v>
      </c>
      <c r="BP7" s="13">
        <v>1</v>
      </c>
      <c r="BQ7" s="13">
        <v>1</v>
      </c>
      <c r="BR7" s="16">
        <f t="shared" si="2"/>
        <v>20</v>
      </c>
      <c r="BS7" s="17">
        <f t="shared" si="3"/>
        <v>0.86956521739130432</v>
      </c>
      <c r="BT7" s="18">
        <f t="shared" si="4"/>
        <v>44</v>
      </c>
      <c r="BU7" s="19">
        <f t="shared" si="5"/>
        <v>0.86335403726708071</v>
      </c>
    </row>
    <row r="8" spans="1:73" ht="60.75" thickBot="1" x14ac:dyDescent="0.3">
      <c r="A8" s="7">
        <v>3</v>
      </c>
      <c r="B8" s="5" t="s">
        <v>184</v>
      </c>
      <c r="C8" s="21" t="s">
        <v>185</v>
      </c>
      <c r="D8" s="20">
        <v>1</v>
      </c>
      <c r="E8" s="77" t="s">
        <v>94</v>
      </c>
      <c r="F8" s="4" t="s">
        <v>62</v>
      </c>
      <c r="G8" s="13">
        <v>1</v>
      </c>
      <c r="H8" s="13">
        <v>1</v>
      </c>
      <c r="I8" s="13"/>
      <c r="J8" s="13"/>
      <c r="K8" s="13">
        <v>1</v>
      </c>
      <c r="L8" s="13">
        <v>1</v>
      </c>
      <c r="M8" s="13">
        <v>1</v>
      </c>
      <c r="N8" s="13"/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0</v>
      </c>
      <c r="W8" s="13">
        <v>1</v>
      </c>
      <c r="X8" s="13">
        <v>1</v>
      </c>
      <c r="Y8" s="13">
        <v>1</v>
      </c>
      <c r="Z8" s="13">
        <v>0</v>
      </c>
      <c r="AA8" s="13">
        <v>1</v>
      </c>
      <c r="AB8" s="13">
        <v>0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1</v>
      </c>
      <c r="AK8" s="13">
        <v>1</v>
      </c>
      <c r="AL8" s="14">
        <f t="shared" si="0"/>
        <v>25</v>
      </c>
      <c r="AM8" s="15">
        <f t="shared" si="1"/>
        <v>0.8928571428571429</v>
      </c>
      <c r="AN8" s="13">
        <v>1</v>
      </c>
      <c r="AO8" s="13"/>
      <c r="AP8" s="13">
        <v>1</v>
      </c>
      <c r="AQ8" s="13"/>
      <c r="AR8" s="13">
        <v>1</v>
      </c>
      <c r="AS8" s="13">
        <v>1</v>
      </c>
      <c r="AT8" s="13">
        <v>1</v>
      </c>
      <c r="AU8" s="13">
        <v>1</v>
      </c>
      <c r="AV8" s="13">
        <v>0</v>
      </c>
      <c r="AW8" s="13"/>
      <c r="AX8" s="13">
        <v>0</v>
      </c>
      <c r="AY8" s="13">
        <v>1</v>
      </c>
      <c r="AZ8" s="13"/>
      <c r="BA8" s="13">
        <v>1</v>
      </c>
      <c r="BB8" s="13"/>
      <c r="BC8" s="13">
        <v>1</v>
      </c>
      <c r="BD8" s="13">
        <v>1</v>
      </c>
      <c r="BE8" s="13">
        <v>1</v>
      </c>
      <c r="BF8" s="13">
        <v>1</v>
      </c>
      <c r="BG8" s="13">
        <v>1</v>
      </c>
      <c r="BH8" s="13">
        <v>1</v>
      </c>
      <c r="BI8" s="13"/>
      <c r="BJ8" s="13">
        <v>1</v>
      </c>
      <c r="BK8" s="13">
        <v>1</v>
      </c>
      <c r="BL8" s="13"/>
      <c r="BM8" s="13">
        <v>1</v>
      </c>
      <c r="BN8" s="13">
        <v>1</v>
      </c>
      <c r="BO8" s="13">
        <v>1</v>
      </c>
      <c r="BP8" s="13">
        <v>1</v>
      </c>
      <c r="BQ8" s="13">
        <v>0</v>
      </c>
      <c r="BR8" s="16">
        <f t="shared" si="2"/>
        <v>20</v>
      </c>
      <c r="BS8" s="17">
        <f t="shared" si="3"/>
        <v>0.86956521739130432</v>
      </c>
      <c r="BT8" s="18">
        <f t="shared" si="4"/>
        <v>45</v>
      </c>
      <c r="BU8" s="19">
        <f t="shared" si="5"/>
        <v>0.88121118012422361</v>
      </c>
    </row>
    <row r="9" spans="1:73" ht="30.75" thickBot="1" x14ac:dyDescent="0.3">
      <c r="A9" s="7">
        <v>4</v>
      </c>
      <c r="B9" s="5" t="s">
        <v>194</v>
      </c>
      <c r="C9" s="21" t="s">
        <v>186</v>
      </c>
      <c r="D9" s="20">
        <v>1</v>
      </c>
      <c r="E9" s="77" t="s">
        <v>96</v>
      </c>
      <c r="F9" s="4" t="s">
        <v>60</v>
      </c>
      <c r="G9" s="13">
        <v>1</v>
      </c>
      <c r="H9" s="13">
        <v>1</v>
      </c>
      <c r="I9" s="13"/>
      <c r="J9" s="13"/>
      <c r="K9" s="13">
        <v>1</v>
      </c>
      <c r="L9" s="13">
        <v>1</v>
      </c>
      <c r="M9" s="13">
        <v>1</v>
      </c>
      <c r="N9" s="13"/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3">
        <v>0</v>
      </c>
      <c r="V9" s="13">
        <v>1</v>
      </c>
      <c r="W9" s="13">
        <v>0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1</v>
      </c>
      <c r="AD9" s="13">
        <v>1</v>
      </c>
      <c r="AE9" s="13">
        <v>1</v>
      </c>
      <c r="AF9" s="13">
        <v>1</v>
      </c>
      <c r="AG9" s="13">
        <v>1</v>
      </c>
      <c r="AH9" s="13">
        <v>1</v>
      </c>
      <c r="AI9" s="13">
        <v>1</v>
      </c>
      <c r="AJ9" s="13">
        <v>1</v>
      </c>
      <c r="AK9" s="13">
        <v>1</v>
      </c>
      <c r="AL9" s="14">
        <f t="shared" si="0"/>
        <v>26</v>
      </c>
      <c r="AM9" s="15">
        <f t="shared" si="1"/>
        <v>0.9285714285714286</v>
      </c>
      <c r="AN9" s="13">
        <v>1</v>
      </c>
      <c r="AO9" s="13"/>
      <c r="AP9" s="13">
        <v>1</v>
      </c>
      <c r="AQ9" s="13"/>
      <c r="AR9" s="13">
        <v>1</v>
      </c>
      <c r="AS9" s="13">
        <v>1</v>
      </c>
      <c r="AT9" s="13">
        <v>1</v>
      </c>
      <c r="AU9" s="13">
        <v>1</v>
      </c>
      <c r="AV9" s="13">
        <v>1</v>
      </c>
      <c r="AW9" s="13"/>
      <c r="AX9" s="13">
        <v>1</v>
      </c>
      <c r="AY9" s="13">
        <v>1</v>
      </c>
      <c r="AZ9" s="13"/>
      <c r="BA9" s="13">
        <v>1</v>
      </c>
      <c r="BB9" s="13"/>
      <c r="BC9" s="13">
        <v>1</v>
      </c>
      <c r="BD9" s="13">
        <v>1</v>
      </c>
      <c r="BE9" s="13">
        <v>1</v>
      </c>
      <c r="BF9" s="13">
        <v>1</v>
      </c>
      <c r="BG9" s="13">
        <v>1</v>
      </c>
      <c r="BH9" s="13">
        <v>1</v>
      </c>
      <c r="BI9" s="13"/>
      <c r="BJ9" s="13">
        <v>1</v>
      </c>
      <c r="BK9" s="13">
        <v>1</v>
      </c>
      <c r="BL9" s="13"/>
      <c r="BM9" s="13">
        <v>1</v>
      </c>
      <c r="BN9" s="13">
        <v>1</v>
      </c>
      <c r="BO9" s="13">
        <v>1</v>
      </c>
      <c r="BP9" s="13">
        <v>1</v>
      </c>
      <c r="BQ9" s="13">
        <v>1</v>
      </c>
      <c r="BR9" s="16">
        <f t="shared" si="2"/>
        <v>23</v>
      </c>
      <c r="BS9" s="17">
        <f t="shared" si="3"/>
        <v>1</v>
      </c>
      <c r="BT9" s="18">
        <f t="shared" si="4"/>
        <v>49</v>
      </c>
      <c r="BU9" s="19">
        <f t="shared" si="5"/>
        <v>0.9642857142857143</v>
      </c>
    </row>
    <row r="10" spans="1:73" ht="45.75" thickBot="1" x14ac:dyDescent="0.3">
      <c r="B10" s="5" t="s">
        <v>187</v>
      </c>
      <c r="C10" s="21" t="s">
        <v>188</v>
      </c>
      <c r="D10" s="20">
        <v>3</v>
      </c>
      <c r="E10" s="77" t="s">
        <v>90</v>
      </c>
      <c r="F10" s="4" t="s">
        <v>62</v>
      </c>
      <c r="G10" s="13">
        <v>3</v>
      </c>
      <c r="H10" s="13">
        <v>3</v>
      </c>
      <c r="I10" s="13"/>
      <c r="J10" s="13"/>
      <c r="K10" s="13">
        <v>3</v>
      </c>
      <c r="L10" s="13">
        <v>3</v>
      </c>
      <c r="M10" s="13">
        <v>3</v>
      </c>
      <c r="N10" s="13"/>
      <c r="O10" s="13">
        <v>3</v>
      </c>
      <c r="P10" s="13">
        <v>3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0</v>
      </c>
      <c r="AA10" s="13">
        <v>3</v>
      </c>
      <c r="AB10" s="13">
        <v>3</v>
      </c>
      <c r="AC10" s="13">
        <v>3</v>
      </c>
      <c r="AD10" s="13">
        <v>3</v>
      </c>
      <c r="AE10" s="13">
        <v>3</v>
      </c>
      <c r="AF10" s="13">
        <v>3</v>
      </c>
      <c r="AG10" s="13">
        <v>3</v>
      </c>
      <c r="AH10" s="13">
        <v>3</v>
      </c>
      <c r="AI10" s="13">
        <v>3</v>
      </c>
      <c r="AJ10" s="13">
        <v>3</v>
      </c>
      <c r="AK10" s="13">
        <v>3</v>
      </c>
      <c r="AL10" s="14">
        <f t="shared" si="0"/>
        <v>81</v>
      </c>
      <c r="AM10" s="15">
        <f t="shared" si="1"/>
        <v>0.9642857142857143</v>
      </c>
      <c r="AN10" s="13">
        <v>3</v>
      </c>
      <c r="AO10" s="13"/>
      <c r="AP10" s="13">
        <v>3</v>
      </c>
      <c r="AQ10" s="13"/>
      <c r="AR10" s="13">
        <v>3</v>
      </c>
      <c r="AS10" s="13">
        <v>3</v>
      </c>
      <c r="AT10" s="13">
        <v>3</v>
      </c>
      <c r="AU10" s="13">
        <v>3</v>
      </c>
      <c r="AV10" s="13">
        <v>3</v>
      </c>
      <c r="AW10" s="13"/>
      <c r="AX10" s="13">
        <v>1</v>
      </c>
      <c r="AY10" s="13">
        <v>3</v>
      </c>
      <c r="AZ10" s="13"/>
      <c r="BA10" s="13">
        <v>3</v>
      </c>
      <c r="BB10" s="13"/>
      <c r="BC10" s="13">
        <v>3</v>
      </c>
      <c r="BD10" s="13">
        <v>3</v>
      </c>
      <c r="BE10" s="13">
        <v>3</v>
      </c>
      <c r="BF10" s="13">
        <v>3</v>
      </c>
      <c r="BG10" s="13">
        <v>3</v>
      </c>
      <c r="BH10" s="13">
        <v>3</v>
      </c>
      <c r="BI10" s="13"/>
      <c r="BJ10" s="13">
        <v>3</v>
      </c>
      <c r="BK10" s="13">
        <v>3</v>
      </c>
      <c r="BL10" s="13"/>
      <c r="BM10" s="13">
        <v>3</v>
      </c>
      <c r="BN10" s="13">
        <v>3</v>
      </c>
      <c r="BO10" s="13">
        <v>3</v>
      </c>
      <c r="BP10" s="13">
        <v>3</v>
      </c>
      <c r="BQ10" s="13">
        <v>3</v>
      </c>
      <c r="BR10" s="16">
        <f t="shared" si="2"/>
        <v>67</v>
      </c>
      <c r="BS10" s="17">
        <f t="shared" si="3"/>
        <v>0.97101449275362317</v>
      </c>
      <c r="BT10" s="18">
        <f t="shared" si="4"/>
        <v>148</v>
      </c>
      <c r="BU10" s="19">
        <f t="shared" si="5"/>
        <v>0.96765010351966874</v>
      </c>
    </row>
    <row r="11" spans="1:73" ht="75.75" thickBot="1" x14ac:dyDescent="0.3">
      <c r="A11" s="7">
        <v>5</v>
      </c>
      <c r="B11" s="5" t="s">
        <v>190</v>
      </c>
      <c r="C11" s="94" t="s">
        <v>189</v>
      </c>
      <c r="D11" s="20">
        <v>1</v>
      </c>
      <c r="E11" s="77" t="s">
        <v>94</v>
      </c>
      <c r="F11" s="4" t="s">
        <v>61</v>
      </c>
      <c r="G11" s="13">
        <v>1</v>
      </c>
      <c r="H11" s="13">
        <v>1</v>
      </c>
      <c r="I11" s="13"/>
      <c r="J11" s="13"/>
      <c r="K11" s="13">
        <v>1</v>
      </c>
      <c r="L11" s="13">
        <v>1</v>
      </c>
      <c r="M11" s="13">
        <v>1</v>
      </c>
      <c r="N11" s="13"/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0</v>
      </c>
      <c r="X11" s="13">
        <v>1</v>
      </c>
      <c r="Y11" s="13">
        <v>1</v>
      </c>
      <c r="Z11" s="13">
        <v>0</v>
      </c>
      <c r="AA11" s="13">
        <v>1</v>
      </c>
      <c r="AB11" s="13">
        <v>1</v>
      </c>
      <c r="AC11" s="13">
        <v>1</v>
      </c>
      <c r="AD11" s="13">
        <v>0</v>
      </c>
      <c r="AE11" s="13">
        <v>1</v>
      </c>
      <c r="AF11" s="13">
        <v>1</v>
      </c>
      <c r="AG11" s="13">
        <v>0</v>
      </c>
      <c r="AH11" s="13">
        <v>1</v>
      </c>
      <c r="AI11" s="13">
        <v>1</v>
      </c>
      <c r="AJ11" s="13">
        <v>1</v>
      </c>
      <c r="AK11" s="13">
        <v>1</v>
      </c>
      <c r="AL11" s="14">
        <f t="shared" si="0"/>
        <v>24</v>
      </c>
      <c r="AM11" s="15">
        <f t="shared" si="1"/>
        <v>0.8571428571428571</v>
      </c>
      <c r="AN11" s="13">
        <v>1</v>
      </c>
      <c r="AO11" s="13"/>
      <c r="AP11" s="13">
        <v>1</v>
      </c>
      <c r="AQ11" s="13"/>
      <c r="AR11" s="13">
        <v>1</v>
      </c>
      <c r="AS11" s="13">
        <v>1</v>
      </c>
      <c r="AT11" s="13">
        <v>1</v>
      </c>
      <c r="AU11" s="13">
        <v>1</v>
      </c>
      <c r="AV11" s="13">
        <v>1</v>
      </c>
      <c r="AW11" s="13"/>
      <c r="AX11" s="13">
        <v>0</v>
      </c>
      <c r="AY11" s="13">
        <v>1</v>
      </c>
      <c r="AZ11" s="13"/>
      <c r="BA11" s="13">
        <v>1</v>
      </c>
      <c r="BB11" s="13"/>
      <c r="BC11" s="13">
        <v>1</v>
      </c>
      <c r="BD11" s="13">
        <v>1</v>
      </c>
      <c r="BE11" s="13">
        <v>1</v>
      </c>
      <c r="BF11" s="13">
        <v>1</v>
      </c>
      <c r="BG11" s="13">
        <v>1</v>
      </c>
      <c r="BH11" s="13">
        <v>1</v>
      </c>
      <c r="BI11" s="13"/>
      <c r="BJ11" s="13">
        <v>1</v>
      </c>
      <c r="BK11" s="13">
        <v>1</v>
      </c>
      <c r="BL11" s="13"/>
      <c r="BM11" s="13">
        <v>1</v>
      </c>
      <c r="BN11" s="13">
        <v>1</v>
      </c>
      <c r="BO11" s="13">
        <v>1</v>
      </c>
      <c r="BP11" s="13">
        <v>1</v>
      </c>
      <c r="BQ11" s="13">
        <v>1</v>
      </c>
      <c r="BR11" s="16">
        <f t="shared" si="2"/>
        <v>22</v>
      </c>
      <c r="BS11" s="17">
        <f t="shared" si="3"/>
        <v>0.95652173913043481</v>
      </c>
      <c r="BT11" s="18">
        <f t="shared" si="4"/>
        <v>46</v>
      </c>
      <c r="BU11" s="19">
        <f t="shared" si="5"/>
        <v>0.9068322981366459</v>
      </c>
    </row>
    <row r="12" spans="1:73" ht="12.75" customHeight="1" x14ac:dyDescent="0.25">
      <c r="A12" s="22"/>
      <c r="B12" s="175" t="s">
        <v>3</v>
      </c>
      <c r="C12" s="176"/>
      <c r="D12" s="1">
        <f>SUM(D6:D11)</f>
        <v>8</v>
      </c>
      <c r="E12" s="87"/>
      <c r="F12" s="88"/>
      <c r="G12" s="23">
        <f t="shared" ref="G12:AB12" si="6">IF(ISBLANK(G6),"н",SUM(G6:G11))</f>
        <v>8</v>
      </c>
      <c r="H12" s="23">
        <f t="shared" si="6"/>
        <v>7</v>
      </c>
      <c r="I12" s="23" t="str">
        <f>IF(ISBLANK(I6),"н",SUM(I6:I11))</f>
        <v>н</v>
      </c>
      <c r="J12" s="23" t="str">
        <f t="shared" si="6"/>
        <v>н</v>
      </c>
      <c r="K12" s="23">
        <f t="shared" si="6"/>
        <v>8</v>
      </c>
      <c r="L12" s="23">
        <f t="shared" si="6"/>
        <v>8</v>
      </c>
      <c r="M12" s="23">
        <f t="shared" si="6"/>
        <v>8</v>
      </c>
      <c r="N12" s="23" t="str">
        <f t="shared" si="6"/>
        <v>н</v>
      </c>
      <c r="O12" s="23">
        <f t="shared" si="6"/>
        <v>8</v>
      </c>
      <c r="P12" s="23">
        <f t="shared" si="6"/>
        <v>8</v>
      </c>
      <c r="Q12" s="23">
        <f t="shared" si="6"/>
        <v>8</v>
      </c>
      <c r="R12" s="23">
        <f t="shared" si="6"/>
        <v>8</v>
      </c>
      <c r="S12" s="23">
        <f t="shared" si="6"/>
        <v>8</v>
      </c>
      <c r="T12" s="23">
        <f t="shared" si="6"/>
        <v>8</v>
      </c>
      <c r="U12" s="23">
        <f t="shared" si="6"/>
        <v>7</v>
      </c>
      <c r="V12" s="23">
        <f t="shared" si="6"/>
        <v>7</v>
      </c>
      <c r="W12" s="23">
        <f t="shared" si="6"/>
        <v>6</v>
      </c>
      <c r="X12" s="23">
        <f t="shared" si="6"/>
        <v>8</v>
      </c>
      <c r="Y12" s="23">
        <f t="shared" si="6"/>
        <v>8</v>
      </c>
      <c r="Z12" s="23">
        <f t="shared" si="6"/>
        <v>2</v>
      </c>
      <c r="AA12" s="23">
        <f t="shared" si="6"/>
        <v>7</v>
      </c>
      <c r="AB12" s="23">
        <f t="shared" si="6"/>
        <v>7</v>
      </c>
      <c r="AC12" s="23">
        <f t="shared" ref="AC12:AK12" si="7">IF(ISBLANK(AC6),"н",SUM(AC6:AC11))</f>
        <v>7</v>
      </c>
      <c r="AD12" s="23">
        <f t="shared" si="7"/>
        <v>5</v>
      </c>
      <c r="AE12" s="23">
        <f t="shared" si="7"/>
        <v>8</v>
      </c>
      <c r="AF12" s="23">
        <f t="shared" si="7"/>
        <v>8</v>
      </c>
      <c r="AG12" s="23">
        <f t="shared" si="7"/>
        <v>7</v>
      </c>
      <c r="AH12" s="23">
        <f t="shared" si="7"/>
        <v>8</v>
      </c>
      <c r="AI12" s="23">
        <f t="shared" si="7"/>
        <v>8</v>
      </c>
      <c r="AJ12" s="23">
        <f t="shared" si="7"/>
        <v>8</v>
      </c>
      <c r="AK12" s="23">
        <f t="shared" si="7"/>
        <v>8</v>
      </c>
      <c r="AL12" s="24">
        <f>AVERAGE(G12:AK12)</f>
        <v>7.3571428571428568</v>
      </c>
      <c r="AM12" s="15"/>
      <c r="AN12" s="23">
        <f t="shared" ref="AN12:BF12" si="8">IF(ISBLANK(AN6),"н",SUM(AN6:AN11))</f>
        <v>8</v>
      </c>
      <c r="AO12" s="23" t="str">
        <f t="shared" si="8"/>
        <v>н</v>
      </c>
      <c r="AP12" s="23">
        <f t="shared" si="8"/>
        <v>8</v>
      </c>
      <c r="AQ12" s="23" t="str">
        <f t="shared" si="8"/>
        <v>н</v>
      </c>
      <c r="AR12" s="23">
        <f t="shared" si="8"/>
        <v>8</v>
      </c>
      <c r="AS12" s="23">
        <f t="shared" si="8"/>
        <v>8</v>
      </c>
      <c r="AT12" s="23">
        <f t="shared" si="8"/>
        <v>7</v>
      </c>
      <c r="AU12" s="23">
        <f t="shared" si="8"/>
        <v>8</v>
      </c>
      <c r="AV12" s="23">
        <f t="shared" si="8"/>
        <v>7</v>
      </c>
      <c r="AW12" s="23" t="str">
        <f t="shared" si="8"/>
        <v>н</v>
      </c>
      <c r="AX12" s="23">
        <f t="shared" si="8"/>
        <v>4</v>
      </c>
      <c r="AY12" s="23">
        <f t="shared" si="8"/>
        <v>8</v>
      </c>
      <c r="AZ12" s="23" t="str">
        <f t="shared" si="8"/>
        <v>н</v>
      </c>
      <c r="BA12" s="23">
        <f t="shared" si="8"/>
        <v>8</v>
      </c>
      <c r="BB12" s="23" t="str">
        <f t="shared" si="8"/>
        <v>н</v>
      </c>
      <c r="BC12" s="23">
        <f t="shared" si="8"/>
        <v>8</v>
      </c>
      <c r="BD12" s="23">
        <f t="shared" si="8"/>
        <v>8</v>
      </c>
      <c r="BE12" s="23">
        <f t="shared" si="8"/>
        <v>8</v>
      </c>
      <c r="BF12" s="23">
        <f t="shared" si="8"/>
        <v>8</v>
      </c>
      <c r="BG12" s="23">
        <f t="shared" ref="BG12:BQ12" si="9">IF(ISBLANK(BG6),"н",SUM(BG6:BG11))</f>
        <v>8</v>
      </c>
      <c r="BH12" s="23">
        <f t="shared" si="9"/>
        <v>7</v>
      </c>
      <c r="BI12" s="23" t="str">
        <f t="shared" si="9"/>
        <v>н</v>
      </c>
      <c r="BJ12" s="23">
        <f t="shared" si="9"/>
        <v>8</v>
      </c>
      <c r="BK12" s="23">
        <f t="shared" si="9"/>
        <v>8</v>
      </c>
      <c r="BL12" s="23" t="str">
        <f t="shared" si="9"/>
        <v>н</v>
      </c>
      <c r="BM12" s="23">
        <f t="shared" si="9"/>
        <v>7</v>
      </c>
      <c r="BN12" s="23">
        <f t="shared" si="9"/>
        <v>8</v>
      </c>
      <c r="BO12" s="23">
        <f t="shared" si="9"/>
        <v>8</v>
      </c>
      <c r="BP12" s="23">
        <f t="shared" si="9"/>
        <v>8</v>
      </c>
      <c r="BQ12" s="23">
        <f t="shared" si="9"/>
        <v>7</v>
      </c>
      <c r="BR12" s="25">
        <f>AVERAGE(AN12:BQ12)</f>
        <v>7.6086956521739131</v>
      </c>
      <c r="BS12" s="17"/>
      <c r="BT12" s="26"/>
      <c r="BU12" s="19"/>
    </row>
    <row r="13" spans="1:73" ht="14.25" customHeight="1" x14ac:dyDescent="0.25">
      <c r="A13" s="22"/>
      <c r="B13" s="177" t="s">
        <v>4</v>
      </c>
      <c r="C13" s="178"/>
      <c r="D13" s="27"/>
      <c r="E13" s="89"/>
      <c r="F13" s="90"/>
      <c r="G13" s="28">
        <f t="shared" ref="G13:AK13" si="10">IF(G12="н"," ",G12/$D12)</f>
        <v>1</v>
      </c>
      <c r="H13" s="28">
        <f t="shared" si="10"/>
        <v>0.875</v>
      </c>
      <c r="I13" s="28" t="str">
        <f t="shared" si="10"/>
        <v xml:space="preserve"> </v>
      </c>
      <c r="J13" s="28" t="str">
        <f t="shared" si="10"/>
        <v xml:space="preserve"> </v>
      </c>
      <c r="K13" s="28">
        <f t="shared" si="10"/>
        <v>1</v>
      </c>
      <c r="L13" s="28">
        <f t="shared" si="10"/>
        <v>1</v>
      </c>
      <c r="M13" s="28">
        <f t="shared" si="10"/>
        <v>1</v>
      </c>
      <c r="N13" s="28" t="str">
        <f t="shared" si="10"/>
        <v xml:space="preserve"> </v>
      </c>
      <c r="O13" s="28">
        <f t="shared" si="10"/>
        <v>1</v>
      </c>
      <c r="P13" s="28">
        <f t="shared" si="10"/>
        <v>1</v>
      </c>
      <c r="Q13" s="28">
        <f t="shared" si="10"/>
        <v>1</v>
      </c>
      <c r="R13" s="28">
        <f t="shared" si="10"/>
        <v>1</v>
      </c>
      <c r="S13" s="28">
        <f t="shared" si="10"/>
        <v>1</v>
      </c>
      <c r="T13" s="28">
        <f t="shared" si="10"/>
        <v>1</v>
      </c>
      <c r="U13" s="28">
        <f t="shared" si="10"/>
        <v>0.875</v>
      </c>
      <c r="V13" s="28">
        <f t="shared" si="10"/>
        <v>0.875</v>
      </c>
      <c r="W13" s="28">
        <f t="shared" si="10"/>
        <v>0.75</v>
      </c>
      <c r="X13" s="28">
        <f t="shared" si="10"/>
        <v>1</v>
      </c>
      <c r="Y13" s="28">
        <f t="shared" si="10"/>
        <v>1</v>
      </c>
      <c r="Z13" s="28">
        <f t="shared" si="10"/>
        <v>0.25</v>
      </c>
      <c r="AA13" s="28">
        <f t="shared" si="10"/>
        <v>0.875</v>
      </c>
      <c r="AB13" s="28">
        <f t="shared" si="10"/>
        <v>0.875</v>
      </c>
      <c r="AC13" s="28">
        <f t="shared" si="10"/>
        <v>0.875</v>
      </c>
      <c r="AD13" s="28">
        <f t="shared" si="10"/>
        <v>0.625</v>
      </c>
      <c r="AE13" s="28">
        <f t="shared" si="10"/>
        <v>1</v>
      </c>
      <c r="AF13" s="28">
        <f t="shared" si="10"/>
        <v>1</v>
      </c>
      <c r="AG13" s="28">
        <f t="shared" si="10"/>
        <v>0.875</v>
      </c>
      <c r="AH13" s="28">
        <f t="shared" si="10"/>
        <v>1</v>
      </c>
      <c r="AI13" s="28">
        <f t="shared" si="10"/>
        <v>1</v>
      </c>
      <c r="AJ13" s="28">
        <f t="shared" si="10"/>
        <v>1</v>
      </c>
      <c r="AK13" s="28">
        <f t="shared" si="10"/>
        <v>1</v>
      </c>
      <c r="AL13" s="29"/>
      <c r="AM13" s="30">
        <f>AVERAGE(G13:AL13)</f>
        <v>0.9196428571428571</v>
      </c>
      <c r="AN13" s="28">
        <f>IF(AN12="н"," ",AN12/$D12)</f>
        <v>1</v>
      </c>
      <c r="AO13" s="28" t="str">
        <f t="shared" ref="AO13:BQ13" si="11">IF(AO12="н"," ",AO12/$D12)</f>
        <v xml:space="preserve"> </v>
      </c>
      <c r="AP13" s="28">
        <f t="shared" si="11"/>
        <v>1</v>
      </c>
      <c r="AQ13" s="28" t="str">
        <f t="shared" si="11"/>
        <v xml:space="preserve"> </v>
      </c>
      <c r="AR13" s="28">
        <f t="shared" si="11"/>
        <v>1</v>
      </c>
      <c r="AS13" s="28">
        <f t="shared" si="11"/>
        <v>1</v>
      </c>
      <c r="AT13" s="28">
        <f t="shared" si="11"/>
        <v>0.875</v>
      </c>
      <c r="AU13" s="28">
        <f t="shared" si="11"/>
        <v>1</v>
      </c>
      <c r="AV13" s="28">
        <f t="shared" si="11"/>
        <v>0.875</v>
      </c>
      <c r="AW13" s="28" t="str">
        <f t="shared" si="11"/>
        <v xml:space="preserve"> </v>
      </c>
      <c r="AX13" s="28">
        <f t="shared" si="11"/>
        <v>0.5</v>
      </c>
      <c r="AY13" s="28">
        <f t="shared" si="11"/>
        <v>1</v>
      </c>
      <c r="AZ13" s="28" t="str">
        <f t="shared" si="11"/>
        <v xml:space="preserve"> </v>
      </c>
      <c r="BA13" s="28">
        <f t="shared" si="11"/>
        <v>1</v>
      </c>
      <c r="BB13" s="28" t="str">
        <f t="shared" si="11"/>
        <v xml:space="preserve"> </v>
      </c>
      <c r="BC13" s="28">
        <f t="shared" si="11"/>
        <v>1</v>
      </c>
      <c r="BD13" s="28">
        <f t="shared" si="11"/>
        <v>1</v>
      </c>
      <c r="BE13" s="28">
        <f t="shared" si="11"/>
        <v>1</v>
      </c>
      <c r="BF13" s="28">
        <f t="shared" si="11"/>
        <v>1</v>
      </c>
      <c r="BG13" s="28">
        <f t="shared" si="11"/>
        <v>1</v>
      </c>
      <c r="BH13" s="28">
        <f t="shared" si="11"/>
        <v>0.875</v>
      </c>
      <c r="BI13" s="28" t="str">
        <f t="shared" si="11"/>
        <v xml:space="preserve"> </v>
      </c>
      <c r="BJ13" s="28">
        <f t="shared" si="11"/>
        <v>1</v>
      </c>
      <c r="BK13" s="28">
        <f t="shared" si="11"/>
        <v>1</v>
      </c>
      <c r="BL13" s="28" t="str">
        <f t="shared" si="11"/>
        <v xml:space="preserve"> </v>
      </c>
      <c r="BM13" s="28">
        <f t="shared" si="11"/>
        <v>0.875</v>
      </c>
      <c r="BN13" s="28">
        <f t="shared" si="11"/>
        <v>1</v>
      </c>
      <c r="BO13" s="28">
        <f t="shared" si="11"/>
        <v>1</v>
      </c>
      <c r="BP13" s="28">
        <f t="shared" si="11"/>
        <v>1</v>
      </c>
      <c r="BQ13" s="28">
        <f t="shared" si="11"/>
        <v>0.875</v>
      </c>
      <c r="BR13" s="31"/>
      <c r="BS13" s="32">
        <f>AVERAGE(AN13:BQ13)</f>
        <v>0.95108695652173914</v>
      </c>
      <c r="BT13" s="33"/>
      <c r="BU13" s="34">
        <f>(BS13+AM13)/2</f>
        <v>0.93536490683229812</v>
      </c>
    </row>
    <row r="14" spans="1:73" ht="12.75" customHeight="1" x14ac:dyDescent="0.25">
      <c r="A14" s="35"/>
      <c r="B14" s="179" t="s">
        <v>6</v>
      </c>
      <c r="C14" s="180"/>
      <c r="D14" s="36"/>
      <c r="E14" s="91"/>
      <c r="F14" s="85"/>
      <c r="G14" s="86">
        <f>IF(ISBLANK(G6),"н",IF(G13&gt;=50%,1,0))</f>
        <v>1</v>
      </c>
      <c r="H14" s="86">
        <f t="shared" ref="H14:AK14" si="12">IF(ISBLANK(H6),"н",IF(H13&gt;=50%,1,0))</f>
        <v>1</v>
      </c>
      <c r="I14" s="86" t="str">
        <f t="shared" si="12"/>
        <v>н</v>
      </c>
      <c r="J14" s="86" t="str">
        <f t="shared" si="12"/>
        <v>н</v>
      </c>
      <c r="K14" s="86">
        <f t="shared" si="12"/>
        <v>1</v>
      </c>
      <c r="L14" s="86">
        <f t="shared" si="12"/>
        <v>1</v>
      </c>
      <c r="M14" s="86">
        <f t="shared" si="12"/>
        <v>1</v>
      </c>
      <c r="N14" s="86" t="str">
        <f t="shared" si="12"/>
        <v>н</v>
      </c>
      <c r="O14" s="86">
        <f t="shared" si="12"/>
        <v>1</v>
      </c>
      <c r="P14" s="86">
        <f t="shared" si="12"/>
        <v>1</v>
      </c>
      <c r="Q14" s="86">
        <f t="shared" si="12"/>
        <v>1</v>
      </c>
      <c r="R14" s="86">
        <f t="shared" si="12"/>
        <v>1</v>
      </c>
      <c r="S14" s="86">
        <f t="shared" si="12"/>
        <v>1</v>
      </c>
      <c r="T14" s="86">
        <f t="shared" si="12"/>
        <v>1</v>
      </c>
      <c r="U14" s="86">
        <f t="shared" si="12"/>
        <v>1</v>
      </c>
      <c r="V14" s="86">
        <f t="shared" si="12"/>
        <v>1</v>
      </c>
      <c r="W14" s="86">
        <f t="shared" si="12"/>
        <v>1</v>
      </c>
      <c r="X14" s="86">
        <f t="shared" si="12"/>
        <v>1</v>
      </c>
      <c r="Y14" s="86">
        <f t="shared" si="12"/>
        <v>1</v>
      </c>
      <c r="Z14" s="86">
        <f t="shared" si="12"/>
        <v>0</v>
      </c>
      <c r="AA14" s="86">
        <f t="shared" si="12"/>
        <v>1</v>
      </c>
      <c r="AB14" s="86">
        <f t="shared" si="12"/>
        <v>1</v>
      </c>
      <c r="AC14" s="86">
        <f t="shared" si="12"/>
        <v>1</v>
      </c>
      <c r="AD14" s="86">
        <f t="shared" si="12"/>
        <v>1</v>
      </c>
      <c r="AE14" s="86">
        <f t="shared" si="12"/>
        <v>1</v>
      </c>
      <c r="AF14" s="86">
        <f t="shared" si="12"/>
        <v>1</v>
      </c>
      <c r="AG14" s="86">
        <f t="shared" si="12"/>
        <v>1</v>
      </c>
      <c r="AH14" s="86">
        <f t="shared" si="12"/>
        <v>1</v>
      </c>
      <c r="AI14" s="86">
        <f t="shared" si="12"/>
        <v>1</v>
      </c>
      <c r="AJ14" s="86">
        <f t="shared" si="12"/>
        <v>1</v>
      </c>
      <c r="AK14" s="86">
        <f t="shared" si="12"/>
        <v>1</v>
      </c>
      <c r="AL14" s="37">
        <f>SUM(G14:AK14)</f>
        <v>27</v>
      </c>
      <c r="AM14" s="38">
        <f>AL14/$D15</f>
        <v>0.9642857142857143</v>
      </c>
      <c r="AN14" s="86">
        <f>IF(ISBLANK(AN6),"н",IF(AN13&gt;=50%,1,0))</f>
        <v>1</v>
      </c>
      <c r="AO14" s="86" t="str">
        <f t="shared" ref="AO14:BQ14" si="13">IF(ISBLANK(AO6),"н",IF(AO13&gt;=50%,1,0))</f>
        <v>н</v>
      </c>
      <c r="AP14" s="86">
        <f t="shared" si="13"/>
        <v>1</v>
      </c>
      <c r="AQ14" s="86" t="str">
        <f t="shared" si="13"/>
        <v>н</v>
      </c>
      <c r="AR14" s="86">
        <f t="shared" si="13"/>
        <v>1</v>
      </c>
      <c r="AS14" s="86">
        <f t="shared" si="13"/>
        <v>1</v>
      </c>
      <c r="AT14" s="86">
        <f t="shared" si="13"/>
        <v>1</v>
      </c>
      <c r="AU14" s="86">
        <f t="shared" si="13"/>
        <v>1</v>
      </c>
      <c r="AV14" s="86">
        <f t="shared" si="13"/>
        <v>1</v>
      </c>
      <c r="AW14" s="86" t="str">
        <f t="shared" si="13"/>
        <v>н</v>
      </c>
      <c r="AX14" s="86">
        <f t="shared" si="13"/>
        <v>1</v>
      </c>
      <c r="AY14" s="86">
        <f t="shared" si="13"/>
        <v>1</v>
      </c>
      <c r="AZ14" s="86" t="str">
        <f t="shared" si="13"/>
        <v>н</v>
      </c>
      <c r="BA14" s="86">
        <f t="shared" si="13"/>
        <v>1</v>
      </c>
      <c r="BB14" s="86" t="str">
        <f t="shared" si="13"/>
        <v>н</v>
      </c>
      <c r="BC14" s="86">
        <f t="shared" si="13"/>
        <v>1</v>
      </c>
      <c r="BD14" s="86">
        <f t="shared" si="13"/>
        <v>1</v>
      </c>
      <c r="BE14" s="86">
        <f t="shared" si="13"/>
        <v>1</v>
      </c>
      <c r="BF14" s="86">
        <f t="shared" si="13"/>
        <v>1</v>
      </c>
      <c r="BG14" s="86">
        <f t="shared" si="13"/>
        <v>1</v>
      </c>
      <c r="BH14" s="86">
        <f t="shared" si="13"/>
        <v>1</v>
      </c>
      <c r="BI14" s="86" t="str">
        <f t="shared" si="13"/>
        <v>н</v>
      </c>
      <c r="BJ14" s="86">
        <f t="shared" si="13"/>
        <v>1</v>
      </c>
      <c r="BK14" s="86">
        <f t="shared" si="13"/>
        <v>1</v>
      </c>
      <c r="BL14" s="86" t="str">
        <f t="shared" si="13"/>
        <v>н</v>
      </c>
      <c r="BM14" s="86">
        <f t="shared" si="13"/>
        <v>1</v>
      </c>
      <c r="BN14" s="86">
        <f t="shared" si="13"/>
        <v>1</v>
      </c>
      <c r="BO14" s="86">
        <f t="shared" si="13"/>
        <v>1</v>
      </c>
      <c r="BP14" s="86">
        <f t="shared" si="13"/>
        <v>1</v>
      </c>
      <c r="BQ14" s="86">
        <f t="shared" si="13"/>
        <v>1</v>
      </c>
      <c r="BR14" s="39">
        <f>SUM(AN14:BQ14)</f>
        <v>23</v>
      </c>
      <c r="BS14" s="40">
        <f>BR14/$D15</f>
        <v>0.8214285714285714</v>
      </c>
      <c r="BT14" s="41">
        <f>BR14+AL14</f>
        <v>50</v>
      </c>
      <c r="BU14" s="42">
        <f>(BS14+AM14)/2</f>
        <v>0.89285714285714279</v>
      </c>
    </row>
    <row r="15" spans="1:73" x14ac:dyDescent="0.25">
      <c r="B15" s="181" t="s">
        <v>7</v>
      </c>
      <c r="C15" s="182"/>
      <c r="D15" s="43">
        <f>COUNTIF(G12:AK12,"&gt;=0")</f>
        <v>28</v>
      </c>
      <c r="E15" s="45"/>
      <c r="F15" s="45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45"/>
      <c r="AN15" s="46"/>
      <c r="AO15" s="46"/>
      <c r="AP15" s="46"/>
      <c r="AQ15" s="47" t="s">
        <v>7</v>
      </c>
      <c r="AR15" s="48">
        <f>COUNTIF(AN12:BQ12,"&gt;0")</f>
        <v>23</v>
      </c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6"/>
      <c r="BS15" s="49" t="s">
        <v>7</v>
      </c>
      <c r="BT15" s="50">
        <f>D15+AR15</f>
        <v>51</v>
      </c>
      <c r="BU15" s="51"/>
    </row>
    <row r="16" spans="1:73" ht="71.25" x14ac:dyDescent="0.25">
      <c r="B16" s="155" t="s">
        <v>14</v>
      </c>
      <c r="C16" s="156"/>
      <c r="D16" s="156"/>
      <c r="E16" s="156"/>
      <c r="F16" s="157"/>
      <c r="G16" s="155" t="s">
        <v>18</v>
      </c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73" t="s">
        <v>9</v>
      </c>
      <c r="AM16" s="73" t="s">
        <v>16</v>
      </c>
      <c r="AN16" s="156" t="s">
        <v>58</v>
      </c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73" t="s">
        <v>9</v>
      </c>
      <c r="BS16" s="74" t="s">
        <v>10</v>
      </c>
      <c r="BT16" s="75" t="s">
        <v>15</v>
      </c>
      <c r="BU16" s="76" t="s">
        <v>11</v>
      </c>
    </row>
    <row r="17" spans="2:73" x14ac:dyDescent="0.25">
      <c r="B17" s="52" t="s">
        <v>19</v>
      </c>
      <c r="C17" s="53"/>
      <c r="D17" s="53"/>
      <c r="E17" s="54">
        <v>8</v>
      </c>
      <c r="F17" s="54">
        <v>8</v>
      </c>
      <c r="G17" s="35">
        <f>IF(AND(G12&gt;=$E17,G12&lt;=$F17),1,0)</f>
        <v>1</v>
      </c>
      <c r="H17" s="35">
        <f t="shared" ref="H17:AB17" si="14">IF(AND(H12&gt;=$E17,H12&lt;=$F17),1,0)</f>
        <v>0</v>
      </c>
      <c r="I17" s="35">
        <f t="shared" si="14"/>
        <v>0</v>
      </c>
      <c r="J17" s="35">
        <f t="shared" si="14"/>
        <v>0</v>
      </c>
      <c r="K17" s="35">
        <f t="shared" si="14"/>
        <v>1</v>
      </c>
      <c r="L17" s="35">
        <f t="shared" si="14"/>
        <v>1</v>
      </c>
      <c r="M17" s="35">
        <f t="shared" si="14"/>
        <v>1</v>
      </c>
      <c r="N17" s="35">
        <f t="shared" si="14"/>
        <v>0</v>
      </c>
      <c r="O17" s="35">
        <f t="shared" si="14"/>
        <v>1</v>
      </c>
      <c r="P17" s="35">
        <f t="shared" si="14"/>
        <v>1</v>
      </c>
      <c r="Q17" s="35">
        <f t="shared" si="14"/>
        <v>1</v>
      </c>
      <c r="R17" s="35">
        <f t="shared" si="14"/>
        <v>1</v>
      </c>
      <c r="S17" s="35">
        <f t="shared" si="14"/>
        <v>1</v>
      </c>
      <c r="T17" s="35">
        <f t="shared" si="14"/>
        <v>1</v>
      </c>
      <c r="U17" s="35">
        <f t="shared" si="14"/>
        <v>0</v>
      </c>
      <c r="V17" s="35">
        <f t="shared" si="14"/>
        <v>0</v>
      </c>
      <c r="W17" s="35">
        <f t="shared" si="14"/>
        <v>0</v>
      </c>
      <c r="X17" s="35">
        <f t="shared" si="14"/>
        <v>1</v>
      </c>
      <c r="Y17" s="35">
        <f t="shared" si="14"/>
        <v>1</v>
      </c>
      <c r="Z17" s="35">
        <f t="shared" si="14"/>
        <v>0</v>
      </c>
      <c r="AA17" s="35">
        <f t="shared" si="14"/>
        <v>0</v>
      </c>
      <c r="AB17" s="35">
        <f t="shared" si="14"/>
        <v>0</v>
      </c>
      <c r="AC17" s="35">
        <f t="shared" ref="AC17:AK17" si="15">IF(AND(AC12&gt;=$E17,AC12&lt;=$F17),1,0)</f>
        <v>0</v>
      </c>
      <c r="AD17" s="35">
        <f t="shared" si="15"/>
        <v>0</v>
      </c>
      <c r="AE17" s="35">
        <f t="shared" si="15"/>
        <v>1</v>
      </c>
      <c r="AF17" s="35">
        <f t="shared" si="15"/>
        <v>1</v>
      </c>
      <c r="AG17" s="35">
        <f t="shared" si="15"/>
        <v>0</v>
      </c>
      <c r="AH17" s="35">
        <f t="shared" si="15"/>
        <v>1</v>
      </c>
      <c r="AI17" s="35">
        <f t="shared" si="15"/>
        <v>1</v>
      </c>
      <c r="AJ17" s="35">
        <f t="shared" si="15"/>
        <v>1</v>
      </c>
      <c r="AK17" s="35">
        <f t="shared" si="15"/>
        <v>1</v>
      </c>
      <c r="AL17" s="54">
        <f>SUM(G17:AK17)</f>
        <v>18</v>
      </c>
      <c r="AM17" s="55">
        <f>AL17/$D15</f>
        <v>0.6428571428571429</v>
      </c>
      <c r="AN17" s="35">
        <f t="shared" ref="AN17:AT17" si="16">IF(AND(AN12&gt;=$E17,AN12&lt;=$F17),1,0)</f>
        <v>1</v>
      </c>
      <c r="AO17" s="35">
        <f t="shared" si="16"/>
        <v>0</v>
      </c>
      <c r="AP17" s="35">
        <f t="shared" si="16"/>
        <v>1</v>
      </c>
      <c r="AQ17" s="35">
        <f t="shared" si="16"/>
        <v>0</v>
      </c>
      <c r="AR17" s="35">
        <f t="shared" si="16"/>
        <v>1</v>
      </c>
      <c r="AS17" s="35">
        <f t="shared" si="16"/>
        <v>1</v>
      </c>
      <c r="AT17" s="35">
        <f t="shared" si="16"/>
        <v>0</v>
      </c>
      <c r="AU17" s="35">
        <f t="shared" ref="AU17:BF17" si="17">IF(AND(AU12&gt;=$E17,AU12&lt;=$F17),1,0)</f>
        <v>1</v>
      </c>
      <c r="AV17" s="35">
        <f t="shared" si="17"/>
        <v>0</v>
      </c>
      <c r="AW17" s="35">
        <f t="shared" si="17"/>
        <v>0</v>
      </c>
      <c r="AX17" s="35">
        <f t="shared" si="17"/>
        <v>0</v>
      </c>
      <c r="AY17" s="35">
        <f t="shared" si="17"/>
        <v>1</v>
      </c>
      <c r="AZ17" s="35">
        <f t="shared" si="17"/>
        <v>0</v>
      </c>
      <c r="BA17" s="35">
        <f t="shared" si="17"/>
        <v>1</v>
      </c>
      <c r="BB17" s="35">
        <f t="shared" si="17"/>
        <v>0</v>
      </c>
      <c r="BC17" s="35">
        <f t="shared" si="17"/>
        <v>1</v>
      </c>
      <c r="BD17" s="35">
        <f t="shared" si="17"/>
        <v>1</v>
      </c>
      <c r="BE17" s="35">
        <f t="shared" si="17"/>
        <v>1</v>
      </c>
      <c r="BF17" s="35">
        <f t="shared" si="17"/>
        <v>1</v>
      </c>
      <c r="BG17" s="35">
        <f t="shared" ref="BG17:BQ17" si="18">IF(AND(BG12&gt;=$E17,BG12&lt;=$F17),1,0)</f>
        <v>1</v>
      </c>
      <c r="BH17" s="35">
        <f t="shared" si="18"/>
        <v>0</v>
      </c>
      <c r="BI17" s="35">
        <f t="shared" si="18"/>
        <v>0</v>
      </c>
      <c r="BJ17" s="35">
        <f t="shared" si="18"/>
        <v>1</v>
      </c>
      <c r="BK17" s="35">
        <f t="shared" si="18"/>
        <v>1</v>
      </c>
      <c r="BL17" s="35">
        <f t="shared" si="18"/>
        <v>0</v>
      </c>
      <c r="BM17" s="35">
        <f t="shared" si="18"/>
        <v>0</v>
      </c>
      <c r="BN17" s="35">
        <f t="shared" si="18"/>
        <v>1</v>
      </c>
      <c r="BO17" s="35">
        <f t="shared" si="18"/>
        <v>1</v>
      </c>
      <c r="BP17" s="35">
        <f t="shared" si="18"/>
        <v>1</v>
      </c>
      <c r="BQ17" s="35">
        <f t="shared" si="18"/>
        <v>0</v>
      </c>
      <c r="BR17" s="54">
        <f>SUM(AN17:BQ17)</f>
        <v>17</v>
      </c>
      <c r="BS17" s="56">
        <f>BR17/$AR15</f>
        <v>0.73913043478260865</v>
      </c>
      <c r="BT17" s="57">
        <f>AL17+BR17</f>
        <v>35</v>
      </c>
      <c r="BU17" s="58">
        <f>(AM17+BS17)/2</f>
        <v>0.69099378881987583</v>
      </c>
    </row>
    <row r="18" spans="2:73" x14ac:dyDescent="0.25">
      <c r="B18" s="52" t="s">
        <v>20</v>
      </c>
      <c r="C18" s="53"/>
      <c r="D18" s="53"/>
      <c r="E18" s="54">
        <v>6</v>
      </c>
      <c r="F18" s="54">
        <v>7</v>
      </c>
      <c r="G18" s="35">
        <f>IF(AND(G12&gt;=$E18,G12&lt;=$F18),1,0)</f>
        <v>0</v>
      </c>
      <c r="H18" s="35">
        <f t="shared" ref="H18:AB18" si="19">IF(AND(H12&gt;=$E18,H12&lt;=$F18),1,0)</f>
        <v>1</v>
      </c>
      <c r="I18" s="35">
        <f t="shared" si="19"/>
        <v>0</v>
      </c>
      <c r="J18" s="35">
        <f t="shared" si="19"/>
        <v>0</v>
      </c>
      <c r="K18" s="35">
        <f t="shared" si="19"/>
        <v>0</v>
      </c>
      <c r="L18" s="35">
        <f t="shared" si="19"/>
        <v>0</v>
      </c>
      <c r="M18" s="35">
        <f t="shared" si="19"/>
        <v>0</v>
      </c>
      <c r="N18" s="35">
        <f t="shared" si="19"/>
        <v>0</v>
      </c>
      <c r="O18" s="35">
        <f t="shared" si="19"/>
        <v>0</v>
      </c>
      <c r="P18" s="35">
        <f t="shared" si="19"/>
        <v>0</v>
      </c>
      <c r="Q18" s="35">
        <f t="shared" si="19"/>
        <v>0</v>
      </c>
      <c r="R18" s="35">
        <f t="shared" si="19"/>
        <v>0</v>
      </c>
      <c r="S18" s="35">
        <f t="shared" si="19"/>
        <v>0</v>
      </c>
      <c r="T18" s="35">
        <f t="shared" si="19"/>
        <v>0</v>
      </c>
      <c r="U18" s="35">
        <f t="shared" si="19"/>
        <v>1</v>
      </c>
      <c r="V18" s="35">
        <f t="shared" si="19"/>
        <v>1</v>
      </c>
      <c r="W18" s="35">
        <f t="shared" si="19"/>
        <v>1</v>
      </c>
      <c r="X18" s="35">
        <f t="shared" si="19"/>
        <v>0</v>
      </c>
      <c r="Y18" s="35">
        <f t="shared" si="19"/>
        <v>0</v>
      </c>
      <c r="Z18" s="35">
        <f t="shared" si="19"/>
        <v>0</v>
      </c>
      <c r="AA18" s="35">
        <f t="shared" si="19"/>
        <v>1</v>
      </c>
      <c r="AB18" s="35">
        <f t="shared" si="19"/>
        <v>1</v>
      </c>
      <c r="AC18" s="35">
        <f t="shared" ref="AC18:AK18" si="20">IF(AND(AC12&gt;=$E18,AC12&lt;=$F18),1,0)</f>
        <v>1</v>
      </c>
      <c r="AD18" s="35">
        <f t="shared" si="20"/>
        <v>0</v>
      </c>
      <c r="AE18" s="35">
        <f t="shared" si="20"/>
        <v>0</v>
      </c>
      <c r="AF18" s="35">
        <f t="shared" si="20"/>
        <v>0</v>
      </c>
      <c r="AG18" s="35">
        <f t="shared" si="20"/>
        <v>1</v>
      </c>
      <c r="AH18" s="35">
        <f t="shared" si="20"/>
        <v>0</v>
      </c>
      <c r="AI18" s="35">
        <f t="shared" si="20"/>
        <v>0</v>
      </c>
      <c r="AJ18" s="35">
        <f t="shared" si="20"/>
        <v>0</v>
      </c>
      <c r="AK18" s="35">
        <f t="shared" si="20"/>
        <v>0</v>
      </c>
      <c r="AL18" s="54">
        <f>SUM(G18:AK18)</f>
        <v>8</v>
      </c>
      <c r="AM18" s="55">
        <f>AL18/$D15</f>
        <v>0.2857142857142857</v>
      </c>
      <c r="AN18" s="35">
        <f t="shared" ref="AN18:AT18" si="21">IF(AND(AN12&gt;=$E18,AN12&lt;=$F18),1,0)</f>
        <v>0</v>
      </c>
      <c r="AO18" s="35">
        <f t="shared" si="21"/>
        <v>0</v>
      </c>
      <c r="AP18" s="35">
        <f t="shared" si="21"/>
        <v>0</v>
      </c>
      <c r="AQ18" s="35">
        <f t="shared" si="21"/>
        <v>0</v>
      </c>
      <c r="AR18" s="35">
        <f t="shared" si="21"/>
        <v>0</v>
      </c>
      <c r="AS18" s="35">
        <f t="shared" si="21"/>
        <v>0</v>
      </c>
      <c r="AT18" s="35">
        <f t="shared" si="21"/>
        <v>1</v>
      </c>
      <c r="AU18" s="35">
        <f t="shared" ref="AU18:BF18" si="22">IF(AND(AU12&gt;=$E18,AU12&lt;=$F18),1,0)</f>
        <v>0</v>
      </c>
      <c r="AV18" s="35">
        <f t="shared" si="22"/>
        <v>1</v>
      </c>
      <c r="AW18" s="35">
        <f t="shared" si="22"/>
        <v>0</v>
      </c>
      <c r="AX18" s="35">
        <f t="shared" si="22"/>
        <v>0</v>
      </c>
      <c r="AY18" s="35">
        <f t="shared" si="22"/>
        <v>0</v>
      </c>
      <c r="AZ18" s="35">
        <f t="shared" si="22"/>
        <v>0</v>
      </c>
      <c r="BA18" s="35">
        <f t="shared" si="22"/>
        <v>0</v>
      </c>
      <c r="BB18" s="35">
        <f t="shared" si="22"/>
        <v>0</v>
      </c>
      <c r="BC18" s="35">
        <f t="shared" si="22"/>
        <v>0</v>
      </c>
      <c r="BD18" s="35">
        <f t="shared" si="22"/>
        <v>0</v>
      </c>
      <c r="BE18" s="35">
        <f t="shared" si="22"/>
        <v>0</v>
      </c>
      <c r="BF18" s="35">
        <f t="shared" si="22"/>
        <v>0</v>
      </c>
      <c r="BG18" s="35">
        <f t="shared" ref="BG18:BQ18" si="23">IF(AND(BG12&gt;=$E18,BG12&lt;=$F18),1,0)</f>
        <v>0</v>
      </c>
      <c r="BH18" s="35">
        <f t="shared" si="23"/>
        <v>1</v>
      </c>
      <c r="BI18" s="35">
        <f t="shared" si="23"/>
        <v>0</v>
      </c>
      <c r="BJ18" s="35">
        <f t="shared" si="23"/>
        <v>0</v>
      </c>
      <c r="BK18" s="35">
        <f t="shared" si="23"/>
        <v>0</v>
      </c>
      <c r="BL18" s="35">
        <f t="shared" si="23"/>
        <v>0</v>
      </c>
      <c r="BM18" s="35">
        <f t="shared" si="23"/>
        <v>1</v>
      </c>
      <c r="BN18" s="35">
        <f t="shared" si="23"/>
        <v>0</v>
      </c>
      <c r="BO18" s="35">
        <f t="shared" si="23"/>
        <v>0</v>
      </c>
      <c r="BP18" s="35">
        <f t="shared" si="23"/>
        <v>0</v>
      </c>
      <c r="BQ18" s="35">
        <f t="shared" si="23"/>
        <v>1</v>
      </c>
      <c r="BR18" s="54">
        <f>SUM(AN18:BQ18)</f>
        <v>5</v>
      </c>
      <c r="BS18" s="56">
        <f>BR18/$AR15</f>
        <v>0.21739130434782608</v>
      </c>
      <c r="BT18" s="57">
        <f>AL18+BR18</f>
        <v>13</v>
      </c>
      <c r="BU18" s="58">
        <f>(AM18+BS18)/2</f>
        <v>0.25155279503105588</v>
      </c>
    </row>
    <row r="19" spans="2:73" x14ac:dyDescent="0.25">
      <c r="B19" s="52" t="s">
        <v>21</v>
      </c>
      <c r="C19" s="53"/>
      <c r="D19" s="53"/>
      <c r="E19" s="54">
        <v>5</v>
      </c>
      <c r="F19" s="54">
        <v>4</v>
      </c>
      <c r="G19" s="35">
        <f>IF(AND(G12&gt;=$E19,G12&lt;=$F19),1,0)</f>
        <v>0</v>
      </c>
      <c r="H19" s="35">
        <f t="shared" ref="H19:AB19" si="24">IF(AND(H12&gt;=$E19,H12&lt;=$F19),1,0)</f>
        <v>0</v>
      </c>
      <c r="I19" s="35">
        <f t="shared" si="24"/>
        <v>0</v>
      </c>
      <c r="J19" s="35">
        <f t="shared" si="24"/>
        <v>0</v>
      </c>
      <c r="K19" s="35">
        <f t="shared" si="24"/>
        <v>0</v>
      </c>
      <c r="L19" s="35">
        <f t="shared" si="24"/>
        <v>0</v>
      </c>
      <c r="M19" s="35">
        <f t="shared" si="24"/>
        <v>0</v>
      </c>
      <c r="N19" s="35">
        <f t="shared" si="24"/>
        <v>0</v>
      </c>
      <c r="O19" s="35">
        <f t="shared" si="24"/>
        <v>0</v>
      </c>
      <c r="P19" s="35">
        <f t="shared" si="24"/>
        <v>0</v>
      </c>
      <c r="Q19" s="35">
        <f t="shared" si="24"/>
        <v>0</v>
      </c>
      <c r="R19" s="35">
        <f t="shared" si="24"/>
        <v>0</v>
      </c>
      <c r="S19" s="35">
        <f t="shared" si="24"/>
        <v>0</v>
      </c>
      <c r="T19" s="35">
        <f t="shared" si="24"/>
        <v>0</v>
      </c>
      <c r="U19" s="35">
        <f t="shared" si="24"/>
        <v>0</v>
      </c>
      <c r="V19" s="35">
        <f t="shared" si="24"/>
        <v>0</v>
      </c>
      <c r="W19" s="35">
        <f t="shared" si="24"/>
        <v>0</v>
      </c>
      <c r="X19" s="35">
        <f t="shared" si="24"/>
        <v>0</v>
      </c>
      <c r="Y19" s="35">
        <f t="shared" si="24"/>
        <v>0</v>
      </c>
      <c r="Z19" s="35">
        <f t="shared" si="24"/>
        <v>0</v>
      </c>
      <c r="AA19" s="35">
        <f t="shared" si="24"/>
        <v>0</v>
      </c>
      <c r="AB19" s="35">
        <f t="shared" si="24"/>
        <v>0</v>
      </c>
      <c r="AC19" s="35">
        <f t="shared" ref="AC19:AK19" si="25">IF(AND(AC12&gt;=$E19,AC12&lt;=$F19),1,0)</f>
        <v>0</v>
      </c>
      <c r="AD19" s="35">
        <f t="shared" si="25"/>
        <v>0</v>
      </c>
      <c r="AE19" s="35">
        <f t="shared" si="25"/>
        <v>0</v>
      </c>
      <c r="AF19" s="35">
        <f t="shared" si="25"/>
        <v>0</v>
      </c>
      <c r="AG19" s="35">
        <f t="shared" si="25"/>
        <v>0</v>
      </c>
      <c r="AH19" s="35">
        <f t="shared" si="25"/>
        <v>0</v>
      </c>
      <c r="AI19" s="35">
        <f t="shared" si="25"/>
        <v>0</v>
      </c>
      <c r="AJ19" s="35">
        <f t="shared" si="25"/>
        <v>0</v>
      </c>
      <c r="AK19" s="35">
        <f t="shared" si="25"/>
        <v>0</v>
      </c>
      <c r="AL19" s="54">
        <f>SUM(G19:AK19)</f>
        <v>0</v>
      </c>
      <c r="AM19" s="55">
        <f>AL19/$D15</f>
        <v>0</v>
      </c>
      <c r="AN19" s="35">
        <f t="shared" ref="AN19:AT19" si="26">IF(AND(AN12&gt;=$E19,AN12&lt;=$F19),1,0)</f>
        <v>0</v>
      </c>
      <c r="AO19" s="35">
        <f t="shared" si="26"/>
        <v>0</v>
      </c>
      <c r="AP19" s="35">
        <f t="shared" si="26"/>
        <v>0</v>
      </c>
      <c r="AQ19" s="35">
        <f t="shared" si="26"/>
        <v>0</v>
      </c>
      <c r="AR19" s="35">
        <f t="shared" si="26"/>
        <v>0</v>
      </c>
      <c r="AS19" s="35">
        <f t="shared" si="26"/>
        <v>0</v>
      </c>
      <c r="AT19" s="35">
        <f t="shared" si="26"/>
        <v>0</v>
      </c>
      <c r="AU19" s="35">
        <f t="shared" ref="AU19:BF19" si="27">IF(AND(AU12&gt;=$E19,AU12&lt;=$F19),1,0)</f>
        <v>0</v>
      </c>
      <c r="AV19" s="35">
        <f t="shared" si="27"/>
        <v>0</v>
      </c>
      <c r="AW19" s="35">
        <f t="shared" si="27"/>
        <v>0</v>
      </c>
      <c r="AX19" s="35">
        <f t="shared" si="27"/>
        <v>0</v>
      </c>
      <c r="AY19" s="35">
        <f t="shared" si="27"/>
        <v>0</v>
      </c>
      <c r="AZ19" s="35">
        <f t="shared" si="27"/>
        <v>0</v>
      </c>
      <c r="BA19" s="35">
        <f t="shared" si="27"/>
        <v>0</v>
      </c>
      <c r="BB19" s="35">
        <f t="shared" si="27"/>
        <v>0</v>
      </c>
      <c r="BC19" s="35">
        <f t="shared" si="27"/>
        <v>0</v>
      </c>
      <c r="BD19" s="35">
        <f t="shared" si="27"/>
        <v>0</v>
      </c>
      <c r="BE19" s="35">
        <f t="shared" si="27"/>
        <v>0</v>
      </c>
      <c r="BF19" s="35">
        <f t="shared" si="27"/>
        <v>0</v>
      </c>
      <c r="BG19" s="35">
        <f t="shared" ref="BG19:BQ19" si="28">IF(AND(BG12&gt;=$E19,BG12&lt;=$F19),1,0)</f>
        <v>0</v>
      </c>
      <c r="BH19" s="35">
        <f t="shared" si="28"/>
        <v>0</v>
      </c>
      <c r="BI19" s="35">
        <f t="shared" si="28"/>
        <v>0</v>
      </c>
      <c r="BJ19" s="35">
        <f t="shared" si="28"/>
        <v>0</v>
      </c>
      <c r="BK19" s="35">
        <f t="shared" si="28"/>
        <v>0</v>
      </c>
      <c r="BL19" s="35">
        <f t="shared" si="28"/>
        <v>0</v>
      </c>
      <c r="BM19" s="35">
        <f t="shared" si="28"/>
        <v>0</v>
      </c>
      <c r="BN19" s="35">
        <f t="shared" si="28"/>
        <v>0</v>
      </c>
      <c r="BO19" s="35">
        <f t="shared" si="28"/>
        <v>0</v>
      </c>
      <c r="BP19" s="35">
        <f t="shared" si="28"/>
        <v>0</v>
      </c>
      <c r="BQ19" s="35">
        <f t="shared" si="28"/>
        <v>0</v>
      </c>
      <c r="BR19" s="54">
        <f>SUM(AN19:BQ19)</f>
        <v>0</v>
      </c>
      <c r="BS19" s="56">
        <f>BR19/$AR15</f>
        <v>0</v>
      </c>
      <c r="BT19" s="57">
        <f>AL19+BR19</f>
        <v>0</v>
      </c>
      <c r="BU19" s="59">
        <f>(AM19+BS19)/2</f>
        <v>0</v>
      </c>
    </row>
    <row r="20" spans="2:73" x14ac:dyDescent="0.25">
      <c r="B20" s="52" t="s">
        <v>22</v>
      </c>
      <c r="C20" s="53"/>
      <c r="D20" s="53"/>
      <c r="E20" s="54">
        <v>0</v>
      </c>
      <c r="F20" s="54">
        <v>3</v>
      </c>
      <c r="G20" s="35">
        <f>IF((G12&lt;=$F20),1,0)</f>
        <v>0</v>
      </c>
      <c r="H20" s="35">
        <f t="shared" ref="H20:AB20" si="29">IF((H12&lt;=$F20),1,0)</f>
        <v>0</v>
      </c>
      <c r="I20" s="35">
        <f t="shared" si="29"/>
        <v>0</v>
      </c>
      <c r="J20" s="35">
        <f t="shared" si="29"/>
        <v>0</v>
      </c>
      <c r="K20" s="35">
        <f t="shared" si="29"/>
        <v>0</v>
      </c>
      <c r="L20" s="35">
        <f t="shared" si="29"/>
        <v>0</v>
      </c>
      <c r="M20" s="35">
        <f t="shared" si="29"/>
        <v>0</v>
      </c>
      <c r="N20" s="35">
        <f t="shared" si="29"/>
        <v>0</v>
      </c>
      <c r="O20" s="35">
        <f t="shared" si="29"/>
        <v>0</v>
      </c>
      <c r="P20" s="35">
        <f t="shared" si="29"/>
        <v>0</v>
      </c>
      <c r="Q20" s="35">
        <f t="shared" si="29"/>
        <v>0</v>
      </c>
      <c r="R20" s="35">
        <f t="shared" si="29"/>
        <v>0</v>
      </c>
      <c r="S20" s="35">
        <f t="shared" si="29"/>
        <v>0</v>
      </c>
      <c r="T20" s="35">
        <f t="shared" si="29"/>
        <v>0</v>
      </c>
      <c r="U20" s="35">
        <f t="shared" si="29"/>
        <v>0</v>
      </c>
      <c r="V20" s="35">
        <f t="shared" si="29"/>
        <v>0</v>
      </c>
      <c r="W20" s="35">
        <f t="shared" si="29"/>
        <v>0</v>
      </c>
      <c r="X20" s="35">
        <f t="shared" si="29"/>
        <v>0</v>
      </c>
      <c r="Y20" s="35">
        <f t="shared" si="29"/>
        <v>0</v>
      </c>
      <c r="Z20" s="35">
        <f t="shared" si="29"/>
        <v>1</v>
      </c>
      <c r="AA20" s="35">
        <f t="shared" si="29"/>
        <v>0</v>
      </c>
      <c r="AB20" s="35">
        <f t="shared" si="29"/>
        <v>0</v>
      </c>
      <c r="AC20" s="35">
        <f t="shared" ref="AC20:AK20" si="30">IF((AC12&lt;=$F20),1,0)</f>
        <v>0</v>
      </c>
      <c r="AD20" s="35">
        <f t="shared" si="30"/>
        <v>0</v>
      </c>
      <c r="AE20" s="35">
        <f t="shared" si="30"/>
        <v>0</v>
      </c>
      <c r="AF20" s="35">
        <f t="shared" si="30"/>
        <v>0</v>
      </c>
      <c r="AG20" s="35">
        <f t="shared" si="30"/>
        <v>0</v>
      </c>
      <c r="AH20" s="35">
        <f t="shared" si="30"/>
        <v>0</v>
      </c>
      <c r="AI20" s="35"/>
      <c r="AJ20" s="35">
        <f t="shared" si="30"/>
        <v>0</v>
      </c>
      <c r="AK20" s="35">
        <f t="shared" si="30"/>
        <v>0</v>
      </c>
      <c r="AL20" s="54">
        <f>SUM(G20:AK20)</f>
        <v>1</v>
      </c>
      <c r="AM20" s="55">
        <f>AL20/$D15</f>
        <v>3.5714285714285712E-2</v>
      </c>
      <c r="AN20" s="35">
        <f>IF((AN12&lt;=$F20),1,0)</f>
        <v>0</v>
      </c>
      <c r="AO20" s="35">
        <f t="shared" ref="AO20:BF20" si="31">IF((AO12&lt;=$F20),1,0)</f>
        <v>0</v>
      </c>
      <c r="AP20" s="35">
        <f t="shared" si="31"/>
        <v>0</v>
      </c>
      <c r="AQ20" s="35">
        <f t="shared" si="31"/>
        <v>0</v>
      </c>
      <c r="AR20" s="35">
        <f t="shared" si="31"/>
        <v>0</v>
      </c>
      <c r="AS20" s="35">
        <f t="shared" si="31"/>
        <v>0</v>
      </c>
      <c r="AT20" s="35">
        <f t="shared" si="31"/>
        <v>0</v>
      </c>
      <c r="AU20" s="35">
        <f t="shared" si="31"/>
        <v>0</v>
      </c>
      <c r="AV20" s="35">
        <f t="shared" si="31"/>
        <v>0</v>
      </c>
      <c r="AW20" s="35">
        <f t="shared" si="31"/>
        <v>0</v>
      </c>
      <c r="AX20" s="35">
        <f t="shared" si="31"/>
        <v>0</v>
      </c>
      <c r="AY20" s="35">
        <f t="shared" si="31"/>
        <v>0</v>
      </c>
      <c r="AZ20" s="35">
        <f t="shared" si="31"/>
        <v>0</v>
      </c>
      <c r="BA20" s="35">
        <f t="shared" si="31"/>
        <v>0</v>
      </c>
      <c r="BB20" s="35">
        <f t="shared" si="31"/>
        <v>0</v>
      </c>
      <c r="BC20" s="35">
        <f t="shared" si="31"/>
        <v>0</v>
      </c>
      <c r="BD20" s="35">
        <f t="shared" si="31"/>
        <v>0</v>
      </c>
      <c r="BE20" s="35">
        <f t="shared" si="31"/>
        <v>0</v>
      </c>
      <c r="BF20" s="35">
        <f t="shared" si="31"/>
        <v>0</v>
      </c>
      <c r="BG20" s="35">
        <f t="shared" ref="BG20:BQ20" si="32">IF((BG12&lt;=$F20),1,0)</f>
        <v>0</v>
      </c>
      <c r="BH20" s="35">
        <f t="shared" si="32"/>
        <v>0</v>
      </c>
      <c r="BI20" s="35">
        <f t="shared" si="32"/>
        <v>0</v>
      </c>
      <c r="BJ20" s="35">
        <f t="shared" si="32"/>
        <v>0</v>
      </c>
      <c r="BK20" s="35">
        <f t="shared" si="32"/>
        <v>0</v>
      </c>
      <c r="BL20" s="35">
        <f t="shared" si="32"/>
        <v>0</v>
      </c>
      <c r="BM20" s="35">
        <f t="shared" si="32"/>
        <v>0</v>
      </c>
      <c r="BN20" s="35">
        <f t="shared" si="32"/>
        <v>0</v>
      </c>
      <c r="BO20" s="35">
        <f t="shared" si="32"/>
        <v>0</v>
      </c>
      <c r="BP20" s="35">
        <f t="shared" si="32"/>
        <v>0</v>
      </c>
      <c r="BQ20" s="35">
        <f t="shared" si="32"/>
        <v>0</v>
      </c>
      <c r="BR20" s="54">
        <f>SUM(AN20:BQ20)</f>
        <v>0</v>
      </c>
      <c r="BS20" s="56">
        <f>BR20/$AR15</f>
        <v>0</v>
      </c>
      <c r="BT20" s="57">
        <f>AL20+BR20</f>
        <v>1</v>
      </c>
      <c r="BU20" s="59">
        <f>(AM20+BS20)/2</f>
        <v>1.7857142857142856E-2</v>
      </c>
    </row>
    <row r="21" spans="2:73" x14ac:dyDescent="0.25">
      <c r="B21" s="60"/>
      <c r="C21" s="60"/>
      <c r="D21" s="60"/>
      <c r="E21" s="60"/>
      <c r="F21" s="60"/>
      <c r="G21" s="93">
        <f>_xlfn.IFS(G17=1,5,G18=1,4,G19=1,3,G20=1,2,G17=0," ",G18=0," ",G19=0," ",G20=0," ")</f>
        <v>5</v>
      </c>
      <c r="H21" s="93">
        <f t="shared" ref="H21:AJ21" si="33">_xlfn.IFS(H17=1,5,H18=1,4,H19=1,3,H20=1,2,H17=0," ",H18=0," ",H19=0," ",H20=0," ")</f>
        <v>4</v>
      </c>
      <c r="I21" s="93" t="str">
        <f t="shared" si="33"/>
        <v xml:space="preserve"> </v>
      </c>
      <c r="J21" s="93" t="str">
        <f t="shared" si="33"/>
        <v xml:space="preserve"> </v>
      </c>
      <c r="K21" s="93">
        <f t="shared" si="33"/>
        <v>5</v>
      </c>
      <c r="L21" s="93">
        <f t="shared" si="33"/>
        <v>5</v>
      </c>
      <c r="M21" s="93">
        <f t="shared" si="33"/>
        <v>5</v>
      </c>
      <c r="N21" s="93" t="str">
        <f t="shared" si="33"/>
        <v xml:space="preserve"> </v>
      </c>
      <c r="O21" s="93">
        <f t="shared" si="33"/>
        <v>5</v>
      </c>
      <c r="P21" s="93">
        <f t="shared" si="33"/>
        <v>5</v>
      </c>
      <c r="Q21" s="93">
        <f t="shared" si="33"/>
        <v>5</v>
      </c>
      <c r="R21" s="93">
        <f t="shared" si="33"/>
        <v>5</v>
      </c>
      <c r="S21" s="93">
        <f t="shared" si="33"/>
        <v>5</v>
      </c>
      <c r="T21" s="93">
        <f t="shared" si="33"/>
        <v>5</v>
      </c>
      <c r="U21" s="93">
        <f t="shared" si="33"/>
        <v>4</v>
      </c>
      <c r="V21" s="93">
        <f t="shared" si="33"/>
        <v>4</v>
      </c>
      <c r="W21" s="93">
        <f t="shared" si="33"/>
        <v>4</v>
      </c>
      <c r="X21" s="93">
        <f t="shared" si="33"/>
        <v>5</v>
      </c>
      <c r="Y21" s="93">
        <f t="shared" si="33"/>
        <v>5</v>
      </c>
      <c r="Z21" s="93">
        <f t="shared" si="33"/>
        <v>2</v>
      </c>
      <c r="AA21" s="93">
        <f t="shared" si="33"/>
        <v>4</v>
      </c>
      <c r="AB21" s="93">
        <f t="shared" si="33"/>
        <v>4</v>
      </c>
      <c r="AC21" s="93">
        <f t="shared" si="33"/>
        <v>4</v>
      </c>
      <c r="AD21" s="93" t="str">
        <f t="shared" si="33"/>
        <v xml:space="preserve"> </v>
      </c>
      <c r="AE21" s="93">
        <f t="shared" si="33"/>
        <v>5</v>
      </c>
      <c r="AF21" s="93">
        <f t="shared" si="33"/>
        <v>5</v>
      </c>
      <c r="AG21" s="93">
        <f t="shared" si="33"/>
        <v>4</v>
      </c>
      <c r="AH21" s="93">
        <f t="shared" si="33"/>
        <v>5</v>
      </c>
      <c r="AI21" s="93">
        <f t="shared" si="33"/>
        <v>5</v>
      </c>
      <c r="AJ21" s="93">
        <f t="shared" si="33"/>
        <v>5</v>
      </c>
      <c r="AK21" s="93">
        <f>_xlfn.IFS(AK17=1,5,AK18=1,4,AK19=1,3,AK20=1,2,AK17=0," ",AK18=0," ",AK19=0," ",AK20=0," ")</f>
        <v>5</v>
      </c>
      <c r="AL21" s="2">
        <f>(AL17*5+AL18*4+AL19*3+AL20*2)/D15</f>
        <v>4.4285714285714288</v>
      </c>
      <c r="AM21" s="61"/>
      <c r="AN21" s="93">
        <f>_xlfn.IFS(AN17=1,5,AN18=1,4,AN19=1,3,AN20=1,2,AN17=0," ",AN18=0," ",AN19=0," ",AN20=0," ")</f>
        <v>5</v>
      </c>
      <c r="AO21" s="93" t="str">
        <f t="shared" ref="AO21:BQ21" si="34">_xlfn.IFS(AO17=1,5,AO18=1,4,AO19=1,3,AO20=1,2,AO17=0," ",AO18=0," ",AO19=0," ",AO20=0," ")</f>
        <v xml:space="preserve"> </v>
      </c>
      <c r="AP21" s="93">
        <f t="shared" si="34"/>
        <v>5</v>
      </c>
      <c r="AQ21" s="93" t="str">
        <f t="shared" si="34"/>
        <v xml:space="preserve"> </v>
      </c>
      <c r="AR21" s="93">
        <f t="shared" si="34"/>
        <v>5</v>
      </c>
      <c r="AS21" s="93">
        <f t="shared" si="34"/>
        <v>5</v>
      </c>
      <c r="AT21" s="93">
        <f t="shared" si="34"/>
        <v>4</v>
      </c>
      <c r="AU21" s="93">
        <f t="shared" si="34"/>
        <v>5</v>
      </c>
      <c r="AV21" s="93">
        <f t="shared" si="34"/>
        <v>4</v>
      </c>
      <c r="AW21" s="93" t="str">
        <f t="shared" si="34"/>
        <v xml:space="preserve"> </v>
      </c>
      <c r="AX21" s="93" t="str">
        <f t="shared" si="34"/>
        <v xml:space="preserve"> </v>
      </c>
      <c r="AY21" s="93">
        <f t="shared" si="34"/>
        <v>5</v>
      </c>
      <c r="AZ21" s="93" t="str">
        <f t="shared" si="34"/>
        <v xml:space="preserve"> </v>
      </c>
      <c r="BA21" s="93">
        <f t="shared" si="34"/>
        <v>5</v>
      </c>
      <c r="BB21" s="93" t="str">
        <f t="shared" si="34"/>
        <v xml:space="preserve"> </v>
      </c>
      <c r="BC21" s="93">
        <f t="shared" si="34"/>
        <v>5</v>
      </c>
      <c r="BD21" s="93">
        <f t="shared" si="34"/>
        <v>5</v>
      </c>
      <c r="BE21" s="93">
        <f t="shared" si="34"/>
        <v>5</v>
      </c>
      <c r="BF21" s="93">
        <f t="shared" si="34"/>
        <v>5</v>
      </c>
      <c r="BG21" s="93">
        <f t="shared" si="34"/>
        <v>5</v>
      </c>
      <c r="BH21" s="93">
        <f t="shared" si="34"/>
        <v>4</v>
      </c>
      <c r="BI21" s="93" t="str">
        <f t="shared" si="34"/>
        <v xml:space="preserve"> </v>
      </c>
      <c r="BJ21" s="93">
        <f t="shared" si="34"/>
        <v>5</v>
      </c>
      <c r="BK21" s="93">
        <f t="shared" si="34"/>
        <v>5</v>
      </c>
      <c r="BL21" s="93" t="str">
        <f t="shared" si="34"/>
        <v xml:space="preserve"> </v>
      </c>
      <c r="BM21" s="93">
        <f t="shared" si="34"/>
        <v>4</v>
      </c>
      <c r="BN21" s="93">
        <f t="shared" si="34"/>
        <v>5</v>
      </c>
      <c r="BO21" s="93">
        <f t="shared" si="34"/>
        <v>5</v>
      </c>
      <c r="BP21" s="93">
        <f t="shared" si="34"/>
        <v>5</v>
      </c>
      <c r="BQ21" s="93">
        <f t="shared" si="34"/>
        <v>4</v>
      </c>
      <c r="BR21" s="2">
        <f>(BR17*5+BR18*4+BR19*3+BR20*2)/AR15</f>
        <v>4.5652173913043477</v>
      </c>
      <c r="BS21" s="61"/>
      <c r="BT21" s="3">
        <f>(AL21+BR21)/2</f>
        <v>4.4968944099378882</v>
      </c>
      <c r="BU21" s="62"/>
    </row>
    <row r="22" spans="2:73" x14ac:dyDescent="0.25">
      <c r="D22" s="44"/>
      <c r="T22" s="7">
        <v>3</v>
      </c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4" t="s">
        <v>25</v>
      </c>
      <c r="AM22" s="65">
        <f>AM17+AM18</f>
        <v>0.9285714285714286</v>
      </c>
      <c r="BR22" s="66" t="s">
        <v>25</v>
      </c>
      <c r="BS22" s="67">
        <f>BS17+BS18</f>
        <v>0.9565217391304347</v>
      </c>
      <c r="BT22" s="68"/>
      <c r="BU22" s="69">
        <f>(AM22+BS22)/2</f>
        <v>0.94254658385093171</v>
      </c>
    </row>
    <row r="23" spans="2:73" ht="15.75" thickBot="1" x14ac:dyDescent="0.3">
      <c r="D23" s="44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70" t="s">
        <v>59</v>
      </c>
      <c r="AM23" s="67">
        <f>100%-AM20</f>
        <v>0.9642857142857143</v>
      </c>
      <c r="BR23" s="66" t="s">
        <v>59</v>
      </c>
      <c r="BS23" s="67">
        <f>100%-BS20</f>
        <v>1</v>
      </c>
      <c r="BT23" s="71"/>
      <c r="BU23" s="72">
        <f>(AM23+BS23)/2</f>
        <v>0.98214285714285721</v>
      </c>
    </row>
    <row r="24" spans="2:73" x14ac:dyDescent="0.25">
      <c r="D24" s="44"/>
      <c r="AL24" s="70"/>
      <c r="AM24" s="141"/>
    </row>
    <row r="25" spans="2:73" x14ac:dyDescent="0.25">
      <c r="D25" s="44"/>
    </row>
  </sheetData>
  <mergeCells count="21">
    <mergeCell ref="BU2:BU5"/>
    <mergeCell ref="B16:F16"/>
    <mergeCell ref="G16:AK16"/>
    <mergeCell ref="AN16:BQ16"/>
    <mergeCell ref="B1:BU1"/>
    <mergeCell ref="G2:AK4"/>
    <mergeCell ref="AL2:AL5"/>
    <mergeCell ref="AM2:AM5"/>
    <mergeCell ref="AN2:BQ4"/>
    <mergeCell ref="BR2:BR5"/>
    <mergeCell ref="BS2:BS5"/>
    <mergeCell ref="BT2:BT5"/>
    <mergeCell ref="B12:C12"/>
    <mergeCell ref="B13:C13"/>
    <mergeCell ref="B14:C14"/>
    <mergeCell ref="B15:C15"/>
    <mergeCell ref="A2:A5"/>
    <mergeCell ref="B2:B5"/>
    <mergeCell ref="D2:D5"/>
    <mergeCell ref="E2:E5"/>
    <mergeCell ref="F2:F5"/>
  </mergeCells>
  <conditionalFormatting sqref="G13:AK13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:AK13">
    <cfRule type="colorScale" priority="30">
      <colorScale>
        <cfvo type="min"/>
        <cfvo type="percent" val="50"/>
        <cfvo type="max"/>
        <color rgb="FFF8696B"/>
        <color rgb="FFFFEB84"/>
        <color rgb="FF63BE7B"/>
      </colorScale>
    </cfRule>
  </conditionalFormatting>
  <conditionalFormatting sqref="G13:AK13">
    <cfRule type="colorScale" priority="29">
      <colorScale>
        <cfvo type="min"/>
        <cfvo type="percentile" val="50"/>
        <cfvo type="max"/>
        <color rgb="FFFF0000"/>
        <color rgb="FFFFEB84"/>
        <color rgb="FF63BE7B"/>
      </colorScale>
    </cfRule>
  </conditionalFormatting>
  <conditionalFormatting sqref="AN13:BQ13">
    <cfRule type="colorScale" priority="28">
      <colorScale>
        <cfvo type="min"/>
        <cfvo type="percent" val="50"/>
        <cfvo type="max"/>
        <color rgb="FFFF0000"/>
        <color rgb="FFFFEB84"/>
        <color rgb="FF63BE7B"/>
      </colorScale>
    </cfRule>
  </conditionalFormatting>
  <conditionalFormatting sqref="G14:AK14">
    <cfRule type="colorScale" priority="26">
      <colorScale>
        <cfvo type="min"/>
        <cfvo type="max"/>
        <color rgb="FFFF0000"/>
        <color theme="9" tint="-0.249977111117893"/>
      </colorScale>
    </cfRule>
    <cfRule type="colorScale" priority="27">
      <colorScale>
        <cfvo type="min"/>
        <cfvo type="max"/>
        <color rgb="FFFF0000"/>
        <color theme="8"/>
      </colorScale>
    </cfRule>
  </conditionalFormatting>
  <conditionalFormatting sqref="AN14:BQ14">
    <cfRule type="colorScale" priority="25">
      <colorScale>
        <cfvo type="min"/>
        <cfvo type="max"/>
        <color rgb="FFFF0000"/>
        <color theme="9" tint="-0.249977111117893"/>
      </colorScale>
    </cfRule>
  </conditionalFormatting>
  <conditionalFormatting sqref="G20:AK20">
    <cfRule type="colorScale" priority="24">
      <colorScale>
        <cfvo type="min"/>
        <cfvo type="max"/>
        <color theme="0"/>
        <color rgb="FFFF0000"/>
      </colorScale>
    </cfRule>
  </conditionalFormatting>
  <conditionalFormatting sqref="G17:AK17">
    <cfRule type="colorScale" priority="23">
      <colorScale>
        <cfvo type="min"/>
        <cfvo type="max"/>
        <color theme="0"/>
        <color rgb="FF00B050"/>
      </colorScale>
    </cfRule>
  </conditionalFormatting>
  <conditionalFormatting sqref="G18:AK18">
    <cfRule type="colorScale" priority="22">
      <colorScale>
        <cfvo type="min"/>
        <cfvo type="max"/>
        <color theme="0"/>
        <color rgb="FF92D050"/>
      </colorScale>
    </cfRule>
  </conditionalFormatting>
  <conditionalFormatting sqref="G19:AK19">
    <cfRule type="colorScale" priority="21">
      <colorScale>
        <cfvo type="min"/>
        <cfvo type="max"/>
        <color theme="0"/>
        <color rgb="FFFFFF00"/>
      </colorScale>
    </cfRule>
  </conditionalFormatting>
  <conditionalFormatting sqref="AN17:BQ17">
    <cfRule type="colorScale" priority="20">
      <colorScale>
        <cfvo type="min"/>
        <cfvo type="max"/>
        <color theme="0"/>
        <color rgb="FF00B050"/>
      </colorScale>
    </cfRule>
  </conditionalFormatting>
  <conditionalFormatting sqref="AN18:BQ18">
    <cfRule type="colorScale" priority="19">
      <colorScale>
        <cfvo type="min"/>
        <cfvo type="max"/>
        <color theme="0"/>
        <color rgb="FF92D050"/>
      </colorScale>
    </cfRule>
  </conditionalFormatting>
  <conditionalFormatting sqref="AN19:BQ19">
    <cfRule type="colorScale" priority="18">
      <colorScale>
        <cfvo type="min"/>
        <cfvo type="max"/>
        <color theme="0"/>
        <color rgb="FFFFFF00"/>
      </colorScale>
    </cfRule>
  </conditionalFormatting>
  <conditionalFormatting sqref="AN20:BQ20">
    <cfRule type="colorScale" priority="16">
      <colorScale>
        <cfvo type="min"/>
        <cfvo type="max"/>
        <color theme="0"/>
        <color rgb="FFFF0000"/>
      </colorScale>
    </cfRule>
    <cfRule type="colorScale" priority="17">
      <colorScale>
        <cfvo type="min"/>
        <cfvo type="max"/>
        <color theme="0"/>
        <color rgb="FFFF0000"/>
      </colorScale>
    </cfRule>
  </conditionalFormatting>
  <conditionalFormatting sqref="AM6:AM11">
    <cfRule type="dataBar" priority="15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{01CE3ED8-A38D-424C-8D6F-38204CF0298B}</x14:id>
        </ext>
      </extLst>
    </cfRule>
  </conditionalFormatting>
  <conditionalFormatting sqref="BS6:BS11">
    <cfRule type="dataBar" priority="14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{3E65E94A-AF95-4861-8B5E-A36FB36779A1}</x14:id>
        </ext>
      </extLst>
    </cfRule>
  </conditionalFormatting>
  <conditionalFormatting sqref="BU6:BU11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{1212C476-38C1-4CB4-A517-EB9A82C56C70}</x14:id>
        </ext>
      </extLst>
    </cfRule>
  </conditionalFormatting>
  <conditionalFormatting sqref="AL12">
    <cfRule type="iconSet" priority="11">
      <iconSet>
        <cfvo type="percent" val="0"/>
        <cfvo type="percent" val="50"/>
        <cfvo type="percent" val="75"/>
      </iconSet>
    </cfRule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BR12">
    <cfRule type="iconSet" priority="10">
      <iconSet>
        <cfvo type="percent" val="0"/>
        <cfvo type="percent" val="50"/>
        <cfvo type="percent" val="75"/>
      </iconSet>
    </cfRule>
  </conditionalFormatting>
  <conditionalFormatting sqref="AL21">
    <cfRule type="colorScale" priority="9">
      <colorScale>
        <cfvo type="min"/>
        <cfvo type="num" val="2.4900000000000002"/>
        <cfvo type="max"/>
        <color rgb="FFFF0000"/>
        <color rgb="FFFFEB84"/>
        <color rgb="FF63BE7B"/>
      </colorScale>
    </cfRule>
  </conditionalFormatting>
  <conditionalFormatting sqref="BR21">
    <cfRule type="colorScale" priority="8">
      <colorScale>
        <cfvo type="min"/>
        <cfvo type="num" val="2.4900000000000002"/>
        <cfvo type="max"/>
        <color rgb="FFFF0000"/>
        <color rgb="FFFFEB84"/>
        <color rgb="FF63BE7B"/>
      </colorScale>
    </cfRule>
  </conditionalFormatting>
  <conditionalFormatting sqref="BT21">
    <cfRule type="colorScale" priority="7">
      <colorScale>
        <cfvo type="min"/>
        <cfvo type="num" val="2.4900000000000002"/>
        <cfvo type="max"/>
        <color rgb="FFFF0000"/>
        <color rgb="FFFFEB84"/>
        <color rgb="FF63BE7B"/>
      </colorScale>
    </cfRule>
  </conditionalFormatting>
  <conditionalFormatting sqref="AM22">
    <cfRule type="colorScale" priority="6">
      <colorScale>
        <cfvo type="min"/>
        <cfvo type="percent" val="50"/>
        <cfvo type="max"/>
        <color rgb="FFFF0000"/>
        <color rgb="FFFFEB84"/>
        <color rgb="FF63BE7B"/>
      </colorScale>
    </cfRule>
  </conditionalFormatting>
  <conditionalFormatting sqref="AM23">
    <cfRule type="colorScale" priority="5">
      <colorScale>
        <cfvo type="min"/>
        <cfvo type="percent" val="50"/>
        <cfvo type="max"/>
        <color rgb="FFFF0000"/>
        <color rgb="FFFFEB84"/>
        <color rgb="FF63BE7B"/>
      </colorScale>
    </cfRule>
  </conditionalFormatting>
  <conditionalFormatting sqref="BS22">
    <cfRule type="colorScale" priority="4">
      <colorScale>
        <cfvo type="min"/>
        <cfvo type="percent" val="50"/>
        <cfvo type="max"/>
        <color rgb="FFFF0000"/>
        <color rgb="FFFFEB84"/>
        <color rgb="FF63BE7B"/>
      </colorScale>
    </cfRule>
  </conditionalFormatting>
  <conditionalFormatting sqref="BS23">
    <cfRule type="colorScale" priority="3">
      <colorScale>
        <cfvo type="min"/>
        <cfvo type="percent" val="50"/>
        <cfvo type="max"/>
        <color rgb="FFFF0000"/>
        <color rgb="FFFFEB84"/>
        <color rgb="FF63BE7B"/>
      </colorScale>
    </cfRule>
  </conditionalFormatting>
  <conditionalFormatting sqref="BU22">
    <cfRule type="colorScale" priority="2">
      <colorScale>
        <cfvo type="min"/>
        <cfvo type="percent" val="50"/>
        <cfvo type="max"/>
        <color rgb="FFFF0000"/>
        <color rgb="FFFFEB84"/>
        <color rgb="FF63BE7B"/>
      </colorScale>
    </cfRule>
  </conditionalFormatting>
  <conditionalFormatting sqref="BU23">
    <cfRule type="colorScale" priority="1">
      <colorScale>
        <cfvo type="min"/>
        <cfvo type="percent" val="50"/>
        <cfvo type="max"/>
        <color rgb="FFFF0000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CE3ED8-A38D-424C-8D6F-38204CF029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AM6:AM11</xm:sqref>
        </x14:conditionalFormatting>
        <x14:conditionalFormatting xmlns:xm="http://schemas.microsoft.com/office/excel/2006/main">
          <x14:cfRule type="dataBar" id="{3E65E94A-AF95-4861-8B5E-A36FB36779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BS6:BS11</xm:sqref>
        </x14:conditionalFormatting>
        <x14:conditionalFormatting xmlns:xm="http://schemas.microsoft.com/office/excel/2006/main">
          <x14:cfRule type="dataBar" id="{1212C476-38C1-4CB4-A517-EB9A82C56C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BU6:BU11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'УУД 1-5 классы'!$C$2:$C$12</xm:f>
          </x14:formula1>
          <xm:sqref>E6:E11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2"/>
  <sheetViews>
    <sheetView workbookViewId="0">
      <selection activeCell="G5" sqref="G5"/>
    </sheetView>
  </sheetViews>
  <sheetFormatPr defaultRowHeight="15.75" x14ac:dyDescent="0.25"/>
  <cols>
    <col min="1" max="1" width="5.5703125" style="95" customWidth="1"/>
    <col min="2" max="2" width="10.85546875" style="95" bestFit="1" customWidth="1"/>
    <col min="3" max="3" width="10.85546875" style="95" customWidth="1"/>
    <col min="4" max="4" width="33.5703125" style="95" customWidth="1"/>
    <col min="5" max="5" width="8.140625" style="95" customWidth="1"/>
    <col min="6" max="6" width="4.42578125" style="95" customWidth="1"/>
    <col min="7" max="7" width="19.7109375" style="95" bestFit="1" customWidth="1"/>
    <col min="8" max="16" width="9.140625" style="95"/>
    <col min="17" max="17" width="11.5703125" style="95" customWidth="1"/>
    <col min="18" max="18" width="13" style="95" customWidth="1"/>
    <col min="19" max="28" width="9.140625" style="95"/>
    <col min="29" max="29" width="11.7109375" style="95" customWidth="1"/>
    <col min="30" max="30" width="11.42578125" style="95" customWidth="1"/>
    <col min="31" max="16384" width="9.140625" style="95"/>
  </cols>
  <sheetData>
    <row r="1" spans="1:42" ht="18" customHeight="1" x14ac:dyDescent="0.25">
      <c r="A1" s="187" t="s">
        <v>108</v>
      </c>
      <c r="B1" s="187"/>
      <c r="C1" s="187"/>
      <c r="D1" s="187"/>
      <c r="E1" s="103" t="s">
        <v>103</v>
      </c>
      <c r="H1" s="187" t="s">
        <v>17</v>
      </c>
      <c r="I1" s="187"/>
      <c r="J1" s="187"/>
      <c r="K1" s="187"/>
      <c r="L1" s="187"/>
      <c r="M1" s="187"/>
      <c r="N1" s="187"/>
      <c r="O1" s="187"/>
      <c r="P1" s="187"/>
      <c r="Q1" s="187"/>
      <c r="R1" s="187"/>
      <c r="T1" s="187" t="s">
        <v>26</v>
      </c>
      <c r="U1" s="187"/>
      <c r="V1" s="187"/>
      <c r="W1" s="187"/>
      <c r="X1" s="187"/>
      <c r="Y1" s="187"/>
      <c r="Z1" s="187"/>
      <c r="AA1" s="187"/>
      <c r="AB1" s="187"/>
      <c r="AC1" s="187"/>
      <c r="AD1" s="187"/>
      <c r="AF1" s="187" t="s">
        <v>100</v>
      </c>
      <c r="AG1" s="187"/>
      <c r="AH1" s="187"/>
      <c r="AI1" s="187"/>
      <c r="AJ1" s="187"/>
      <c r="AK1" s="187"/>
      <c r="AL1" s="187"/>
      <c r="AM1" s="187"/>
      <c r="AN1" s="187"/>
      <c r="AO1" s="187"/>
      <c r="AP1" s="187"/>
    </row>
    <row r="2" spans="1:42" ht="47.25" x14ac:dyDescent="0.25">
      <c r="A2" s="188" t="s">
        <v>86</v>
      </c>
      <c r="B2" s="81" t="s">
        <v>64</v>
      </c>
      <c r="C2" s="78" t="s">
        <v>89</v>
      </c>
      <c r="D2" s="79" t="s">
        <v>65</v>
      </c>
      <c r="E2" s="79" t="s">
        <v>107</v>
      </c>
      <c r="F2" s="84"/>
      <c r="H2" s="184" t="s">
        <v>86</v>
      </c>
      <c r="I2" s="184"/>
      <c r="J2" s="184"/>
      <c r="K2" s="185" t="s">
        <v>87</v>
      </c>
      <c r="L2" s="185"/>
      <c r="M2" s="185"/>
      <c r="N2" s="185"/>
      <c r="O2" s="185"/>
      <c r="P2" s="185"/>
      <c r="Q2" s="186" t="s">
        <v>88</v>
      </c>
      <c r="R2" s="186"/>
      <c r="T2" s="184" t="s">
        <v>86</v>
      </c>
      <c r="U2" s="184"/>
      <c r="V2" s="184"/>
      <c r="W2" s="185" t="s">
        <v>87</v>
      </c>
      <c r="X2" s="185"/>
      <c r="Y2" s="185"/>
      <c r="Z2" s="185"/>
      <c r="AA2" s="185"/>
      <c r="AB2" s="185"/>
      <c r="AC2" s="186" t="s">
        <v>88</v>
      </c>
      <c r="AD2" s="186"/>
      <c r="AF2" s="184" t="s">
        <v>86</v>
      </c>
      <c r="AG2" s="184"/>
      <c r="AH2" s="184"/>
      <c r="AI2" s="185" t="s">
        <v>87</v>
      </c>
      <c r="AJ2" s="185"/>
      <c r="AK2" s="185"/>
      <c r="AL2" s="185"/>
      <c r="AM2" s="185"/>
      <c r="AN2" s="185"/>
      <c r="AO2" s="186" t="s">
        <v>88</v>
      </c>
      <c r="AP2" s="186"/>
    </row>
    <row r="3" spans="1:42" ht="32.25" thickBot="1" x14ac:dyDescent="0.3">
      <c r="A3" s="188"/>
      <c r="B3" s="81" t="s">
        <v>66</v>
      </c>
      <c r="C3" s="78" t="s">
        <v>90</v>
      </c>
      <c r="D3" s="79" t="s">
        <v>67</v>
      </c>
      <c r="E3" s="79" t="s">
        <v>105</v>
      </c>
      <c r="F3" s="84"/>
      <c r="H3" s="81" t="s">
        <v>64</v>
      </c>
      <c r="I3" s="81" t="s">
        <v>66</v>
      </c>
      <c r="J3" s="81" t="s">
        <v>68</v>
      </c>
      <c r="K3" s="82" t="s">
        <v>70</v>
      </c>
      <c r="L3" s="82" t="s">
        <v>72</v>
      </c>
      <c r="M3" s="82" t="s">
        <v>74</v>
      </c>
      <c r="N3" s="82" t="s">
        <v>76</v>
      </c>
      <c r="O3" s="82" t="s">
        <v>78</v>
      </c>
      <c r="P3" s="82" t="s">
        <v>80</v>
      </c>
      <c r="Q3" s="80" t="s">
        <v>82</v>
      </c>
      <c r="R3" s="80" t="s">
        <v>84</v>
      </c>
      <c r="T3" s="81" t="s">
        <v>64</v>
      </c>
      <c r="U3" s="81" t="s">
        <v>66</v>
      </c>
      <c r="V3" s="81" t="s">
        <v>68</v>
      </c>
      <c r="W3" s="82" t="s">
        <v>70</v>
      </c>
      <c r="X3" s="82" t="s">
        <v>72</v>
      </c>
      <c r="Y3" s="82" t="s">
        <v>74</v>
      </c>
      <c r="Z3" s="82" t="s">
        <v>76</v>
      </c>
      <c r="AA3" s="82" t="s">
        <v>78</v>
      </c>
      <c r="AB3" s="82" t="s">
        <v>80</v>
      </c>
      <c r="AC3" s="80" t="s">
        <v>82</v>
      </c>
      <c r="AD3" s="80" t="s">
        <v>84</v>
      </c>
      <c r="AF3" s="81" t="s">
        <v>64</v>
      </c>
      <c r="AG3" s="81" t="s">
        <v>66</v>
      </c>
      <c r="AH3" s="81" t="s">
        <v>68</v>
      </c>
      <c r="AI3" s="82" t="s">
        <v>70</v>
      </c>
      <c r="AJ3" s="82" t="s">
        <v>72</v>
      </c>
      <c r="AK3" s="82" t="s">
        <v>74</v>
      </c>
      <c r="AL3" s="82" t="s">
        <v>76</v>
      </c>
      <c r="AM3" s="82" t="s">
        <v>78</v>
      </c>
      <c r="AN3" s="82" t="s">
        <v>80</v>
      </c>
      <c r="AO3" s="80" t="s">
        <v>82</v>
      </c>
      <c r="AP3" s="80" t="s">
        <v>84</v>
      </c>
    </row>
    <row r="4" spans="1:42" ht="63.75" thickBot="1" x14ac:dyDescent="0.3">
      <c r="A4" s="188"/>
      <c r="B4" s="81" t="s">
        <v>68</v>
      </c>
      <c r="C4" s="78" t="s">
        <v>91</v>
      </c>
      <c r="D4" s="79" t="s">
        <v>69</v>
      </c>
      <c r="E4" s="79" t="s">
        <v>106</v>
      </c>
      <c r="F4" s="84"/>
      <c r="G4" s="96" t="s">
        <v>101</v>
      </c>
      <c r="H4" s="97">
        <f>SUMIF(диагностика!E6:E11,"Р1",диагностика!AM6:AM11)</f>
        <v>0</v>
      </c>
      <c r="I4" s="98">
        <f>SUMIF(диагностика!E6:E11,"Р2",диагностика!AM6:AM11)</f>
        <v>1.8928571428571428</v>
      </c>
      <c r="J4" s="98">
        <f>SUMIF(диагностика!E6:E11,"Р3",диагностика!AM6:AM11)</f>
        <v>0</v>
      </c>
      <c r="K4" s="98">
        <f>SUMIF(диагностика!E6:E11,"П4",диагностика!AM6:AM11)</f>
        <v>0.8571428571428571</v>
      </c>
      <c r="L4" s="98">
        <f>SUMIF(диагностика!E6:E11,"П5",диагностика!AM6:AM11)</f>
        <v>0</v>
      </c>
      <c r="M4" s="98">
        <f>SUMIF(диагностика!E6:E11,"П6",диагностика!AM6:AM11)</f>
        <v>1.75</v>
      </c>
      <c r="N4" s="98">
        <f>SUMIF(диагностика!E6:E11,"П7",диагностика!AM6:AM11)</f>
        <v>0</v>
      </c>
      <c r="O4" s="98">
        <f>SUMIF(диагностика!E6:E11,"П8",диагностика!AM6:AM11)</f>
        <v>0.9285714285714286</v>
      </c>
      <c r="P4" s="98">
        <f>SUMIF(диагностика!E6:E11,"П9",диагностика!AM6:AM11)</f>
        <v>0</v>
      </c>
      <c r="Q4" s="98">
        <f>SUMIF(диагностика!E6:E11,"К10",диагностика!AM6:AM11)</f>
        <v>0</v>
      </c>
      <c r="R4" s="98">
        <f>SUMIF(диагностика!E6:E11,"К11",диагностика!AM6:AM11)</f>
        <v>0</v>
      </c>
      <c r="T4" s="98">
        <f>SUMIF(диагностика!E6:E11,"Р1",диагностика!BS6:BS11)</f>
        <v>0</v>
      </c>
      <c r="U4" s="98">
        <f>SUMIF(диагностика!E6:E11,"Р2",диагностика!BS6:BS11)</f>
        <v>1.9710144927536231</v>
      </c>
      <c r="V4" s="98">
        <f>SUMIF(диагностика!E6:E11,"Р3",диагностика!BS6:BS11)</f>
        <v>0</v>
      </c>
      <c r="W4" s="98">
        <f>SUMIF(диагностика!E6:E11,"П4",диагностика!BS6:BS11)</f>
        <v>0.86956521739130432</v>
      </c>
      <c r="X4" s="98">
        <f>SUMIF(диагностика!E6:E11,"П5",диагностика!BS6:BS11)</f>
        <v>0</v>
      </c>
      <c r="Y4" s="98">
        <f>SUMIF(диагностика!E6:E11,"П6",диагностика!BS6:BS11)</f>
        <v>1.8260869565217392</v>
      </c>
      <c r="Z4" s="98">
        <f>SUMIF(диагностика!E6:E11,"П7",диагностика!BS6:BS11)</f>
        <v>0</v>
      </c>
      <c r="AA4" s="98">
        <f>SUMIF(диагностика!E6:E11,"П8",диагностика!BS6:BS11)</f>
        <v>1</v>
      </c>
      <c r="AB4" s="98">
        <f>SUMIF(диагностика!E6:E11,"П9",диагностика!BS6:BS11)</f>
        <v>0</v>
      </c>
      <c r="AC4" s="98">
        <f>SUMIF(диагностика!E6:E11,"К10",диагностика!BS6:BS11)</f>
        <v>0</v>
      </c>
      <c r="AD4" s="98">
        <f>SUMIF(диагностика!E6:E11,"К11",диагностика!BS6:BS11)</f>
        <v>0</v>
      </c>
      <c r="AF4" s="98">
        <f>SUMIF(диагностика!E6:E11,"Р1",диагностика!BU6:BU11)</f>
        <v>0</v>
      </c>
      <c r="AG4" s="98">
        <f>SUMIF(диагностика!E6:E11,"Р2",диагностика!BU6:BU11)</f>
        <v>1.9319358178053831</v>
      </c>
      <c r="AH4" s="98">
        <f>SUMIF(диагностика!E6:E11,"Р3",диагностика!BU6:BU11)</f>
        <v>0</v>
      </c>
      <c r="AI4" s="98">
        <f>SUMIF(диагностика!E6:E11,"П4",диагностика!BU6:BU11)</f>
        <v>0.86335403726708071</v>
      </c>
      <c r="AJ4" s="98">
        <f>SUMIF(диагностика!E6:E11,"П5",диагностика!BU6:BU11)</f>
        <v>0</v>
      </c>
      <c r="AK4" s="98">
        <f>SUMIF(диагностика!E6:E11,"П6",диагностика!BU6:BU11)</f>
        <v>1.7880434782608696</v>
      </c>
      <c r="AL4" s="98">
        <f>SUMIF(диагностика!E6:E11,"П7",диагностика!BU6:BU11)</f>
        <v>0</v>
      </c>
      <c r="AM4" s="98">
        <f>SUMIF(диагностика!E6:E11,"П8",диагностика!BU6:BU11)</f>
        <v>0.9642857142857143</v>
      </c>
      <c r="AN4" s="98">
        <f>SUMIF(диагностика!E6:E11,"П9",диагностика!BU6:BU11)</f>
        <v>0</v>
      </c>
      <c r="AO4" s="98">
        <f>SUMIF(диагностика!E6:E11,"К10",диагностика!BU6:BU11)</f>
        <v>0</v>
      </c>
      <c r="AP4" s="98">
        <f>SUMIF(диагностика!E6:E11,"К11",диагностика!BU6:BU11)</f>
        <v>0</v>
      </c>
    </row>
    <row r="5" spans="1:42" ht="32.25" thickBot="1" x14ac:dyDescent="0.3">
      <c r="A5" s="189" t="s">
        <v>87</v>
      </c>
      <c r="B5" s="82" t="s">
        <v>70</v>
      </c>
      <c r="C5" s="78" t="s">
        <v>92</v>
      </c>
      <c r="D5" s="79" t="s">
        <v>71</v>
      </c>
      <c r="E5" s="79" t="s">
        <v>105</v>
      </c>
      <c r="F5" s="84"/>
      <c r="G5" s="99" t="s">
        <v>102</v>
      </c>
      <c r="H5" s="97" t="e">
        <f>SUMIF(#REF!,"Р1",#REF!)</f>
        <v>#REF!</v>
      </c>
      <c r="I5" s="98" t="e">
        <f>SUMIF(#REF!,"Р2",#REF!)</f>
        <v>#REF!</v>
      </c>
      <c r="J5" s="98" t="e">
        <f>SUMIF(#REF!,"Р3",#REF!)</f>
        <v>#REF!</v>
      </c>
      <c r="K5" s="98" t="e">
        <f>SUMIF(#REF!,"П4",#REF!)</f>
        <v>#REF!</v>
      </c>
      <c r="L5" s="98" t="e">
        <f>SUMIF(#REF!,"П5",#REF!)</f>
        <v>#REF!</v>
      </c>
      <c r="M5" s="98" t="e">
        <f>SUMIF(#REF!,"П6",#REF!)</f>
        <v>#REF!</v>
      </c>
      <c r="N5" s="98" t="e">
        <f>SUMIF(#REF!,"П7",#REF!)</f>
        <v>#REF!</v>
      </c>
      <c r="O5" s="98" t="e">
        <f>SUMIF(#REF!,"П8",#REF!)</f>
        <v>#REF!</v>
      </c>
      <c r="P5" s="98" t="e">
        <f>SUMIF(#REF!,"П9",#REF!)</f>
        <v>#REF!</v>
      </c>
      <c r="Q5" s="98" t="e">
        <f>SUMIF(#REF!,"К10",#REF!)</f>
        <v>#REF!</v>
      </c>
      <c r="R5" s="98" t="e">
        <f>SUMIF(#REF!,"К11",#REF!)</f>
        <v>#REF!</v>
      </c>
      <c r="T5" s="98" t="e">
        <f>SUMIF(#REF!,"Р1",#REF!)</f>
        <v>#REF!</v>
      </c>
      <c r="U5" s="98" t="e">
        <f>SUMIF(#REF!,"Р2",#REF!)</f>
        <v>#REF!</v>
      </c>
      <c r="V5" s="98" t="e">
        <f>SUMIF(#REF!,"Р3",#REF!)</f>
        <v>#REF!</v>
      </c>
      <c r="W5" s="98" t="e">
        <f>SUMIF(#REF!,"П4",#REF!)</f>
        <v>#REF!</v>
      </c>
      <c r="X5" s="98" t="e">
        <f>SUMIF(#REF!,"П5",#REF!)</f>
        <v>#REF!</v>
      </c>
      <c r="Y5" s="98" t="e">
        <f>SUMIF(#REF!,"П6",#REF!)</f>
        <v>#REF!</v>
      </c>
      <c r="Z5" s="98" t="e">
        <f>SUMIF(#REF!,"П7",#REF!)</f>
        <v>#REF!</v>
      </c>
      <c r="AA5" s="98" t="e">
        <f>SUMIF(#REF!,"П8",#REF!)</f>
        <v>#REF!</v>
      </c>
      <c r="AB5" s="98" t="e">
        <f>SUMIF(#REF!,"П9",#REF!)</f>
        <v>#REF!</v>
      </c>
      <c r="AC5" s="98" t="e">
        <f>SUMIF(#REF!,"К10",#REF!)</f>
        <v>#REF!</v>
      </c>
      <c r="AD5" s="98" t="e">
        <f>SUMIF(#REF!,"К11",#REF!)</f>
        <v>#REF!</v>
      </c>
      <c r="AF5" s="98" t="e">
        <f>SUMIF(#REF!,"Р1",#REF!)</f>
        <v>#REF!</v>
      </c>
      <c r="AG5" s="98" t="e">
        <f>SUMIF(#REF!,"Р2",#REF!)</f>
        <v>#REF!</v>
      </c>
      <c r="AH5" s="98" t="e">
        <f>SUMIF(#REF!,"Р3",#REF!)</f>
        <v>#REF!</v>
      </c>
      <c r="AI5" s="98" t="e">
        <f>SUMIF(#REF!,"П4",#REF!)</f>
        <v>#REF!</v>
      </c>
      <c r="AJ5" s="98" t="e">
        <f>SUMIF(#REF!,"П5",#REF!)</f>
        <v>#REF!</v>
      </c>
      <c r="AK5" s="98" t="e">
        <f>SUMIF(#REF!,"П6",#REF!)</f>
        <v>#REF!</v>
      </c>
      <c r="AL5" s="98" t="e">
        <f>SUMIF(#REF!,"П7",#REF!)</f>
        <v>#REF!</v>
      </c>
      <c r="AM5" s="98" t="e">
        <f>SUMIF(#REF!,"П8",#REF!)</f>
        <v>#REF!</v>
      </c>
      <c r="AN5" s="98" t="e">
        <f>SUMIF(#REF!,"П9",#REF!)</f>
        <v>#REF!</v>
      </c>
      <c r="AO5" s="98" t="e">
        <f>SUMIF(#REF!,"К10",#REF!)</f>
        <v>#REF!</v>
      </c>
      <c r="AP5" s="98" t="e">
        <f>SUMIF(#REF!,"К11",#REF!)</f>
        <v>#REF!</v>
      </c>
    </row>
    <row r="6" spans="1:42" ht="48" thickBot="1" x14ac:dyDescent="0.3">
      <c r="A6" s="189"/>
      <c r="B6" s="82" t="s">
        <v>72</v>
      </c>
      <c r="C6" s="78" t="s">
        <v>93</v>
      </c>
      <c r="D6" s="79" t="s">
        <v>73</v>
      </c>
      <c r="E6" s="79" t="s">
        <v>106</v>
      </c>
      <c r="F6" s="84"/>
      <c r="G6" s="100"/>
      <c r="H6" s="101"/>
      <c r="I6" s="102"/>
      <c r="J6" s="102"/>
      <c r="K6" s="102"/>
      <c r="L6" s="102"/>
      <c r="M6" s="102"/>
      <c r="N6" s="102"/>
      <c r="O6" s="102"/>
      <c r="P6" s="102"/>
      <c r="Q6" s="102"/>
      <c r="R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</row>
    <row r="7" spans="1:42" ht="63.75" thickBot="1" x14ac:dyDescent="0.3">
      <c r="A7" s="189"/>
      <c r="B7" s="82" t="s">
        <v>74</v>
      </c>
      <c r="C7" s="78" t="s">
        <v>94</v>
      </c>
      <c r="D7" s="79" t="s">
        <v>75</v>
      </c>
      <c r="E7" s="79" t="s">
        <v>105</v>
      </c>
      <c r="F7" s="84"/>
      <c r="G7" s="100"/>
      <c r="H7" s="101"/>
      <c r="I7" s="102"/>
      <c r="J7" s="102"/>
      <c r="K7" s="102"/>
      <c r="L7" s="102"/>
      <c r="M7" s="102"/>
      <c r="N7" s="102"/>
      <c r="O7" s="102"/>
      <c r="P7" s="102"/>
      <c r="Q7" s="102"/>
      <c r="R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</row>
    <row r="8" spans="1:42" ht="78.75" x14ac:dyDescent="0.25">
      <c r="A8" s="189"/>
      <c r="B8" s="82" t="s">
        <v>76</v>
      </c>
      <c r="C8" s="78" t="s">
        <v>95</v>
      </c>
      <c r="D8" s="79" t="s">
        <v>77</v>
      </c>
      <c r="E8" s="79" t="s">
        <v>105</v>
      </c>
      <c r="F8" s="84"/>
    </row>
    <row r="9" spans="1:42" ht="31.5" x14ac:dyDescent="0.25">
      <c r="A9" s="189"/>
      <c r="B9" s="82" t="s">
        <v>78</v>
      </c>
      <c r="C9" s="78" t="s">
        <v>96</v>
      </c>
      <c r="D9" s="79" t="s">
        <v>79</v>
      </c>
      <c r="E9" s="79" t="s">
        <v>105</v>
      </c>
      <c r="F9" s="84"/>
    </row>
    <row r="10" spans="1:42" ht="31.5" x14ac:dyDescent="0.25">
      <c r="A10" s="189"/>
      <c r="B10" s="82" t="s">
        <v>80</v>
      </c>
      <c r="C10" s="78" t="s">
        <v>97</v>
      </c>
      <c r="D10" s="79" t="s">
        <v>81</v>
      </c>
      <c r="E10" s="79" t="s">
        <v>104</v>
      </c>
      <c r="F10" s="84"/>
    </row>
    <row r="11" spans="1:42" ht="48" customHeight="1" x14ac:dyDescent="0.25">
      <c r="A11" s="183" t="s">
        <v>88</v>
      </c>
      <c r="B11" s="80" t="s">
        <v>82</v>
      </c>
      <c r="C11" s="78" t="s">
        <v>98</v>
      </c>
      <c r="D11" s="79" t="s">
        <v>83</v>
      </c>
      <c r="E11" s="79">
        <v>5</v>
      </c>
      <c r="F11" s="84"/>
    </row>
    <row r="12" spans="1:42" ht="47.25" x14ac:dyDescent="0.25">
      <c r="A12" s="183"/>
      <c r="B12" s="80" t="s">
        <v>84</v>
      </c>
      <c r="C12" s="78" t="s">
        <v>99</v>
      </c>
      <c r="D12" s="79" t="s">
        <v>85</v>
      </c>
      <c r="E12" s="79">
        <v>5</v>
      </c>
      <c r="F12" s="84"/>
    </row>
  </sheetData>
  <mergeCells count="16">
    <mergeCell ref="A11:A12"/>
    <mergeCell ref="AF2:AH2"/>
    <mergeCell ref="AI2:AN2"/>
    <mergeCell ref="AO2:AP2"/>
    <mergeCell ref="AF1:AP1"/>
    <mergeCell ref="H2:J2"/>
    <mergeCell ref="K2:P2"/>
    <mergeCell ref="Q2:R2"/>
    <mergeCell ref="A2:A4"/>
    <mergeCell ref="A5:A10"/>
    <mergeCell ref="T2:V2"/>
    <mergeCell ref="W2:AB2"/>
    <mergeCell ref="AC2:AD2"/>
    <mergeCell ref="H1:R1"/>
    <mergeCell ref="T1:AD1"/>
    <mergeCell ref="A1:D1"/>
  </mergeCells>
  <phoneticPr fontId="6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5"/>
  <sheetViews>
    <sheetView tabSelected="1" workbookViewId="0">
      <selection activeCell="B5" sqref="B5"/>
    </sheetView>
  </sheetViews>
  <sheetFormatPr defaultRowHeight="15.75" x14ac:dyDescent="0.25"/>
  <cols>
    <col min="1" max="1" width="14" style="95" customWidth="1"/>
    <col min="2" max="2" width="16.7109375" style="95" customWidth="1"/>
    <col min="3" max="3" width="15.85546875" style="95" customWidth="1"/>
    <col min="4" max="4" width="25.85546875" style="95" customWidth="1"/>
    <col min="5" max="5" width="25.5703125" style="95" customWidth="1"/>
    <col min="6" max="6" width="14.5703125" style="95" customWidth="1"/>
    <col min="7" max="9" width="9.140625" style="95"/>
    <col min="10" max="10" width="8.85546875" style="95" customWidth="1"/>
    <col min="11" max="11" width="10.85546875" style="95" customWidth="1"/>
    <col min="12" max="16384" width="9.140625" style="95"/>
  </cols>
  <sheetData>
    <row r="1" spans="1:11" x14ac:dyDescent="0.25">
      <c r="A1" s="193" t="s">
        <v>109</v>
      </c>
      <c r="B1" s="193"/>
      <c r="C1" s="193"/>
      <c r="D1" s="193"/>
      <c r="E1" s="193"/>
      <c r="F1" s="193"/>
      <c r="G1" s="108"/>
      <c r="H1" s="108"/>
      <c r="I1" s="108"/>
      <c r="J1" s="108"/>
      <c r="K1" s="108"/>
    </row>
    <row r="2" spans="1:11" x14ac:dyDescent="0.25">
      <c r="A2" s="193" t="s">
        <v>152</v>
      </c>
      <c r="B2" s="193"/>
      <c r="C2" s="193"/>
      <c r="D2" s="193"/>
      <c r="E2" s="193"/>
      <c r="F2" s="193"/>
      <c r="H2" s="108"/>
      <c r="I2" s="108"/>
      <c r="J2" s="108"/>
      <c r="K2" s="108"/>
    </row>
    <row r="3" spans="1:11" ht="30" customHeight="1" x14ac:dyDescent="0.25">
      <c r="B3" s="104"/>
    </row>
    <row r="4" spans="1:11" x14ac:dyDescent="0.25">
      <c r="A4" s="191" t="s">
        <v>145</v>
      </c>
      <c r="B4" s="191"/>
      <c r="C4" s="194">
        <v>43893</v>
      </c>
      <c r="D4" s="192"/>
      <c r="E4" s="192"/>
      <c r="F4" s="192"/>
      <c r="G4" s="108"/>
      <c r="H4" s="108"/>
      <c r="I4" s="108"/>
      <c r="J4" s="108"/>
      <c r="K4" s="108"/>
    </row>
    <row r="6" spans="1:11" x14ac:dyDescent="0.25">
      <c r="A6" s="103" t="s">
        <v>143</v>
      </c>
      <c r="B6" s="95" t="s">
        <v>153</v>
      </c>
      <c r="C6" s="119" t="s">
        <v>110</v>
      </c>
      <c r="D6" s="192" t="str">
        <f>IF(B6=Лист1!D2,Лист1!E2,IF(Справка!B6=Лист1!D3,Лист1!E3,IF(Справка!B6=Лист1!D4,Лист1!E4,IF(Справка!B6=Лист1!D5,Лист1!E5,IF(Справка!B6=Лист1!D6,Лист1!E6,IF(Справка!B6=Лист1!D7,Лист1!E7,IF(Справка!B6=Лист1!D8,Лист1!E8,IF(Справка!B6=Лист1!D9,Лист1!E9,IF(Справка!B6=Лист1!D10,Лист1!E10,IF(Справка!B6=Лист1!D11,Лист1!E11,IF(Справка!B6=Лист1!D12,Лист1!E12," ")))))))))))</f>
        <v>Лихотина Галина Викторовна</v>
      </c>
      <c r="E6" s="192"/>
      <c r="F6" s="192"/>
      <c r="G6" s="108"/>
      <c r="H6" s="108"/>
      <c r="I6" s="108"/>
      <c r="J6" s="108"/>
      <c r="K6" s="108"/>
    </row>
    <row r="7" spans="1:11" x14ac:dyDescent="0.25">
      <c r="A7" s="103"/>
      <c r="B7" s="95" t="s">
        <v>170</v>
      </c>
      <c r="C7" s="119"/>
      <c r="D7" s="192" t="str">
        <f>IF(B7=Лист1!D2,Лист1!E2,IF(Справка!B7=Лист1!D3,Лист1!E3,IF(Справка!B7=Лист1!D4,Лист1!E4,IF(Справка!B7=Лист1!D5,Лист1!E5,IF(Справка!B7=Лист1!D6,Лист1!E6,IF(Справка!B7=Лист1!D7,Лист1!E7,IF(Справка!B7=Лист1!D8,Лист1!E8,IF(Справка!B7=Лист1!D9,Лист1!E9,IF(Справка!B7=Лист1!D10,Лист1!E10,IF(Справка!B7=Лист1!D11,Лист1!E11,IF(Справка!B7=Лист1!D12,Лист1!E12," ")))))))))))</f>
        <v>Сороколетова Елена Сергеевна</v>
      </c>
      <c r="E7" s="192"/>
      <c r="F7" s="192"/>
      <c r="G7" s="108"/>
      <c r="H7" s="108"/>
      <c r="I7" s="108"/>
      <c r="J7" s="108"/>
      <c r="K7" s="108"/>
    </row>
    <row r="9" spans="1:11" x14ac:dyDescent="0.25">
      <c r="A9" s="191" t="s">
        <v>111</v>
      </c>
      <c r="B9" s="191"/>
      <c r="C9" s="192" t="s">
        <v>191</v>
      </c>
      <c r="D9" s="192"/>
      <c r="E9" s="192"/>
      <c r="F9" s="192"/>
      <c r="G9" s="108"/>
      <c r="H9" s="108"/>
      <c r="I9" s="108"/>
      <c r="J9" s="108"/>
      <c r="K9" s="108"/>
    </row>
    <row r="11" spans="1:11" x14ac:dyDescent="0.25">
      <c r="A11" s="191" t="s">
        <v>112</v>
      </c>
      <c r="B11" s="191"/>
      <c r="C11" s="191"/>
      <c r="D11" s="191"/>
      <c r="E11" s="191"/>
      <c r="F11" s="191"/>
      <c r="G11" s="114"/>
      <c r="H11" s="114"/>
      <c r="I11" s="114"/>
      <c r="J11" s="114"/>
      <c r="K11" s="114"/>
    </row>
    <row r="12" spans="1:11" ht="31.5" customHeight="1" x14ac:dyDescent="0.25">
      <c r="A12" s="107" t="s">
        <v>144</v>
      </c>
      <c r="B12" s="190" t="s">
        <v>113</v>
      </c>
      <c r="C12" s="190"/>
      <c r="D12" s="190"/>
      <c r="E12" s="190"/>
      <c r="F12" s="190"/>
      <c r="G12" s="106"/>
      <c r="H12" s="106"/>
      <c r="I12" s="106"/>
      <c r="J12" s="106"/>
      <c r="K12" s="106"/>
    </row>
    <row r="13" spans="1:11" x14ac:dyDescent="0.25">
      <c r="A13" s="107" t="s">
        <v>144</v>
      </c>
      <c r="B13" s="95" t="s">
        <v>114</v>
      </c>
    </row>
    <row r="14" spans="1:11" x14ac:dyDescent="0.25">
      <c r="A14" s="107" t="s">
        <v>144</v>
      </c>
      <c r="B14" s="95" t="s">
        <v>115</v>
      </c>
    </row>
    <row r="15" spans="1:11" x14ac:dyDescent="0.25">
      <c r="A15" s="107" t="s">
        <v>144</v>
      </c>
      <c r="B15" s="95" t="s">
        <v>116</v>
      </c>
    </row>
    <row r="17" spans="1:11" x14ac:dyDescent="0.25">
      <c r="A17" s="191" t="s">
        <v>117</v>
      </c>
      <c r="B17" s="191"/>
      <c r="C17" s="191"/>
      <c r="D17" s="191"/>
      <c r="E17" s="191"/>
      <c r="F17" s="191"/>
      <c r="G17" s="114"/>
      <c r="H17" s="114"/>
      <c r="I17" s="114"/>
      <c r="J17" s="114"/>
      <c r="K17" s="114"/>
    </row>
    <row r="18" spans="1:11" ht="31.5" customHeight="1" x14ac:dyDescent="0.25">
      <c r="A18" s="190" t="s">
        <v>118</v>
      </c>
      <c r="B18" s="190"/>
      <c r="C18" s="190"/>
      <c r="D18" s="190"/>
      <c r="E18" s="190"/>
      <c r="F18" s="190"/>
      <c r="G18" s="106"/>
      <c r="H18" s="106"/>
      <c r="I18" s="106"/>
      <c r="J18" s="106"/>
      <c r="K18" s="106"/>
    </row>
    <row r="19" spans="1:11" ht="30.75" customHeight="1" x14ac:dyDescent="0.25">
      <c r="A19" s="107" t="s">
        <v>144</v>
      </c>
      <c r="B19" s="190" t="s">
        <v>119</v>
      </c>
      <c r="C19" s="190"/>
      <c r="D19" s="190"/>
      <c r="E19" s="190"/>
      <c r="F19" s="190"/>
      <c r="G19" s="106"/>
      <c r="H19" s="106"/>
      <c r="I19" s="106"/>
      <c r="J19" s="106"/>
      <c r="K19" s="106"/>
    </row>
    <row r="20" spans="1:11" ht="48.75" customHeight="1" x14ac:dyDescent="0.25">
      <c r="A20" s="107" t="s">
        <v>144</v>
      </c>
      <c r="B20" s="190" t="s">
        <v>120</v>
      </c>
      <c r="C20" s="190"/>
      <c r="D20" s="190"/>
      <c r="E20" s="190"/>
      <c r="F20" s="190"/>
      <c r="G20" s="106"/>
      <c r="H20" s="106"/>
      <c r="I20" s="106"/>
      <c r="J20" s="106"/>
      <c r="K20" s="106"/>
    </row>
    <row r="22" spans="1:11" x14ac:dyDescent="0.25">
      <c r="A22" s="201" t="s">
        <v>121</v>
      </c>
      <c r="B22" s="201"/>
      <c r="C22" s="201"/>
      <c r="D22" s="201"/>
      <c r="E22" s="201"/>
      <c r="F22" s="201"/>
      <c r="G22" s="118"/>
      <c r="H22" s="118"/>
      <c r="I22" s="118"/>
      <c r="J22" s="118"/>
      <c r="K22" s="118"/>
    </row>
    <row r="23" spans="1:11" ht="15.75" customHeight="1" x14ac:dyDescent="0.25">
      <c r="A23" s="190" t="s">
        <v>122</v>
      </c>
      <c r="B23" s="190"/>
      <c r="C23" s="190"/>
      <c r="D23" s="190"/>
      <c r="E23" s="190"/>
      <c r="F23" s="190"/>
      <c r="G23" s="106"/>
      <c r="H23" s="106"/>
      <c r="I23" s="106"/>
      <c r="J23" s="106"/>
      <c r="K23" s="106"/>
    </row>
    <row r="24" spans="1:11" x14ac:dyDescent="0.25">
      <c r="A24" s="95" t="s">
        <v>146</v>
      </c>
      <c r="C24" s="128">
        <v>15</v>
      </c>
      <c r="D24" s="95" t="s">
        <v>147</v>
      </c>
    </row>
    <row r="26" spans="1:11" x14ac:dyDescent="0.25">
      <c r="A26" s="191" t="s">
        <v>123</v>
      </c>
      <c r="B26" s="191"/>
      <c r="C26" s="191"/>
      <c r="D26" s="191"/>
      <c r="E26" s="191"/>
      <c r="F26" s="191"/>
      <c r="G26" s="113"/>
      <c r="H26" s="113"/>
      <c r="I26" s="113"/>
      <c r="J26" s="113"/>
      <c r="K26" s="113"/>
    </row>
    <row r="27" spans="1:11" x14ac:dyDescent="0.25">
      <c r="A27" s="192" t="s">
        <v>124</v>
      </c>
      <c r="B27" s="192"/>
      <c r="C27" s="192"/>
      <c r="D27" s="192"/>
      <c r="E27" s="192"/>
      <c r="F27" s="192"/>
      <c r="G27" s="108"/>
      <c r="H27" s="108"/>
      <c r="I27" s="108"/>
      <c r="J27" s="108"/>
      <c r="K27" s="108"/>
    </row>
    <row r="28" spans="1:11" x14ac:dyDescent="0.25">
      <c r="A28" s="119">
        <f>COUNTIF(диагностика!F6:F11,"ВО")</f>
        <v>1</v>
      </c>
      <c r="B28" s="95" t="s">
        <v>148</v>
      </c>
    </row>
    <row r="29" spans="1:11" x14ac:dyDescent="0.25">
      <c r="A29" s="119">
        <f>COUNTIF(диагностика!F6:F11,"КО")</f>
        <v>2</v>
      </c>
      <c r="B29" s="95" t="s">
        <v>149</v>
      </c>
    </row>
    <row r="30" spans="1:11" x14ac:dyDescent="0.25">
      <c r="A30" s="119">
        <f>COUNTIF(диагностика!F6:F11,"РО")</f>
        <v>3</v>
      </c>
      <c r="B30" s="95" t="s">
        <v>150</v>
      </c>
    </row>
    <row r="31" spans="1:11" ht="48" customHeight="1" x14ac:dyDescent="0.25">
      <c r="A31" s="190" t="s">
        <v>125</v>
      </c>
      <c r="B31" s="190"/>
      <c r="C31" s="190"/>
      <c r="D31" s="190"/>
      <c r="E31" s="190"/>
      <c r="F31" s="190"/>
      <c r="G31" s="106"/>
      <c r="H31" s="106"/>
      <c r="I31" s="106"/>
      <c r="J31" s="106"/>
      <c r="K31" s="106"/>
    </row>
    <row r="32" spans="1:11" x14ac:dyDescent="0.25">
      <c r="A32" s="197" t="s">
        <v>151</v>
      </c>
      <c r="B32" s="197"/>
      <c r="C32" s="197"/>
      <c r="D32" s="197"/>
      <c r="E32" s="113">
        <f>диагностика!D12</f>
        <v>8</v>
      </c>
    </row>
    <row r="33" spans="1:11" x14ac:dyDescent="0.25">
      <c r="A33" s="192" t="s">
        <v>126</v>
      </c>
      <c r="B33" s="192"/>
      <c r="C33" s="192"/>
      <c r="D33" s="192"/>
      <c r="E33" s="192"/>
      <c r="F33" s="192"/>
      <c r="G33" s="108"/>
      <c r="H33" s="108"/>
      <c r="I33" s="108"/>
      <c r="J33" s="108"/>
      <c r="K33" s="108"/>
    </row>
    <row r="34" spans="1:11" x14ac:dyDescent="0.25">
      <c r="A34" s="197" t="s">
        <v>127</v>
      </c>
      <c r="B34" s="197"/>
      <c r="C34" s="95" t="str">
        <f>"от"&amp;" "&amp;диагностика!E20&amp;" "&amp;"до"&amp;" "&amp;диагностика!F20</f>
        <v>от 0 до 3</v>
      </c>
    </row>
    <row r="35" spans="1:11" x14ac:dyDescent="0.25">
      <c r="A35" s="197" t="s">
        <v>128</v>
      </c>
      <c r="B35" s="197"/>
      <c r="C35" s="95" t="str">
        <f>"от"&amp;" "&amp;диагностика!E19&amp;" "&amp;"до"&amp;" "&amp;диагностика!F19</f>
        <v>от 5 до 4</v>
      </c>
    </row>
    <row r="36" spans="1:11" x14ac:dyDescent="0.25">
      <c r="A36" s="197" t="s">
        <v>129</v>
      </c>
      <c r="B36" s="197"/>
      <c r="C36" s="95" t="str">
        <f>"от"&amp;" "&amp;диагностика!E18&amp;" "&amp;"до"&amp;" "&amp;диагностика!F18</f>
        <v>от 6 до 7</v>
      </c>
    </row>
    <row r="37" spans="1:11" x14ac:dyDescent="0.25">
      <c r="A37" s="197" t="s">
        <v>130</v>
      </c>
      <c r="B37" s="197"/>
      <c r="C37" s="95" t="str">
        <f>"от"&amp;" "&amp;диагностика!E17&amp;" "&amp;"до"&amp;" "&amp;диагностика!F17</f>
        <v>от 8 до 8</v>
      </c>
    </row>
    <row r="39" spans="1:11" x14ac:dyDescent="0.25">
      <c r="A39" s="191" t="s">
        <v>131</v>
      </c>
      <c r="B39" s="191"/>
      <c r="C39" s="191"/>
      <c r="D39" s="191"/>
      <c r="E39" s="191"/>
      <c r="F39" s="191"/>
      <c r="G39" s="114"/>
      <c r="H39" s="114"/>
      <c r="I39" s="114"/>
      <c r="J39" s="114"/>
      <c r="K39" s="114"/>
    </row>
    <row r="40" spans="1:11" x14ac:dyDescent="0.25">
      <c r="A40" s="103"/>
    </row>
    <row r="41" spans="1:11" x14ac:dyDescent="0.25">
      <c r="A41" s="110" t="s">
        <v>132</v>
      </c>
      <c r="B41" s="198" t="s">
        <v>23</v>
      </c>
      <c r="C41" s="198"/>
      <c r="D41" s="198"/>
      <c r="E41" s="198"/>
      <c r="F41" s="110" t="s">
        <v>133</v>
      </c>
      <c r="G41" s="111"/>
      <c r="H41" s="111"/>
      <c r="I41" s="111"/>
      <c r="J41" s="111"/>
      <c r="K41" s="109"/>
    </row>
    <row r="42" spans="1:11" ht="28.5" customHeight="1" x14ac:dyDescent="0.25">
      <c r="A42" s="117">
        <v>1</v>
      </c>
      <c r="B42" s="199" t="str">
        <f>диагностика!B6</f>
        <v>Сравнение и упорядочение чисел, знаки сравнения.</v>
      </c>
      <c r="C42" s="199"/>
      <c r="D42" s="199"/>
      <c r="E42" s="199"/>
      <c r="F42" s="126" t="str">
        <f>диагностика!C6</f>
        <v>1.1</v>
      </c>
      <c r="G42" s="112"/>
      <c r="H42" s="112"/>
      <c r="I42" s="112"/>
      <c r="J42" s="112"/>
      <c r="K42" s="109"/>
    </row>
    <row r="43" spans="1:11" ht="27.75" customHeight="1" x14ac:dyDescent="0.25">
      <c r="A43" s="117">
        <v>2</v>
      </c>
      <c r="B43" s="199" t="str">
        <f>диагностика!B7</f>
        <v xml:space="preserve">Различать звуки и буквы </v>
      </c>
      <c r="C43" s="199"/>
      <c r="D43" s="199"/>
      <c r="E43" s="199"/>
      <c r="F43" s="126" t="str">
        <f>диагностика!C7</f>
        <v>1.4</v>
      </c>
      <c r="G43" s="112"/>
      <c r="H43" s="112"/>
      <c r="I43" s="112"/>
      <c r="J43" s="112"/>
      <c r="K43" s="109"/>
    </row>
    <row r="44" spans="1:11" ht="23.25" customHeight="1" x14ac:dyDescent="0.25">
      <c r="A44" s="117">
        <v>3</v>
      </c>
      <c r="B44" s="199" t="str">
        <f>диагностика!B8</f>
        <v>Сложение, вычитание, умножение и деление. Название компонентов арифметических действий, знаки действий.</v>
      </c>
      <c r="C44" s="199"/>
      <c r="D44" s="199"/>
      <c r="E44" s="199"/>
      <c r="F44" s="126" t="str">
        <f>диагностика!C8</f>
        <v>2.1</v>
      </c>
      <c r="G44" s="112"/>
      <c r="H44" s="112"/>
      <c r="I44" s="112"/>
      <c r="J44" s="112"/>
      <c r="K44" s="109"/>
    </row>
    <row r="45" spans="1:11" ht="24" customHeight="1" x14ac:dyDescent="0.25">
      <c r="A45" s="117">
        <v>4</v>
      </c>
      <c r="B45" s="199" t="s">
        <v>194</v>
      </c>
      <c r="C45" s="199"/>
      <c r="D45" s="199"/>
      <c r="E45" s="199"/>
      <c r="F45" s="126" t="str">
        <f>диагностика!C9</f>
        <v>3.1, 3.2</v>
      </c>
      <c r="G45" s="112"/>
      <c r="H45" s="112"/>
      <c r="I45" s="112"/>
      <c r="J45" s="112"/>
      <c r="K45" s="109"/>
    </row>
    <row r="46" spans="1:11" ht="26.25" customHeight="1" x14ac:dyDescent="0.25">
      <c r="A46" s="117">
        <v>5</v>
      </c>
      <c r="B46" s="199" t="str">
        <f>диагностика!B11</f>
        <v xml:space="preserve">Распознавание и изображение геометрических фигур: точка, кривая/ прямая  линия, отрезок, ломаная, угол и др. Измерение длины отрезка. </v>
      </c>
      <c r="C46" s="199"/>
      <c r="D46" s="199"/>
      <c r="E46" s="199"/>
      <c r="F46" s="126" t="str">
        <f>диагностика!C11</f>
        <v>4.3, 5.2</v>
      </c>
      <c r="G46" s="112"/>
      <c r="H46" s="112"/>
      <c r="I46" s="112"/>
      <c r="J46" s="112"/>
      <c r="K46" s="109"/>
    </row>
    <row r="47" spans="1:11" ht="36" customHeight="1" x14ac:dyDescent="0.25"/>
    <row r="48" spans="1:11" x14ac:dyDescent="0.25">
      <c r="A48" s="191" t="s">
        <v>134</v>
      </c>
      <c r="B48" s="191"/>
      <c r="C48" s="191"/>
      <c r="D48" s="191"/>
      <c r="E48" s="191"/>
      <c r="F48" s="191"/>
      <c r="G48" s="114"/>
      <c r="H48" s="114"/>
      <c r="I48" s="114"/>
      <c r="J48" s="114"/>
      <c r="K48" s="114"/>
    </row>
    <row r="49" spans="1:9" x14ac:dyDescent="0.25">
      <c r="A49" s="105"/>
    </row>
    <row r="50" spans="1:9" ht="57" x14ac:dyDescent="0.25">
      <c r="A50" s="83" t="s">
        <v>154</v>
      </c>
      <c r="B50" s="120" t="s">
        <v>135</v>
      </c>
      <c r="C50" s="121" t="s">
        <v>136</v>
      </c>
      <c r="D50" s="120" t="s">
        <v>137</v>
      </c>
      <c r="E50" s="120" t="s">
        <v>138</v>
      </c>
      <c r="F50" s="120" t="s">
        <v>139</v>
      </c>
      <c r="G50" s="108"/>
      <c r="I50" s="104"/>
    </row>
    <row r="51" spans="1:9" ht="31.5" customHeight="1" x14ac:dyDescent="0.25">
      <c r="A51" s="115" t="str">
        <f>"А"&amp;CHAR(10)&amp;" "&amp;диагностика!D15&amp;" "&amp;"человек"</f>
        <v>А
 28 человек</v>
      </c>
      <c r="B51" s="122">
        <f>диагностика!AM23</f>
        <v>0.9642857142857143</v>
      </c>
      <c r="C51" s="123">
        <f>диагностика!AM22</f>
        <v>0.9285714285714286</v>
      </c>
      <c r="D51" s="116">
        <f>SUM(диагностика!AL17:AL18)</f>
        <v>26</v>
      </c>
      <c r="E51" s="116">
        <f>диагностика!AL20</f>
        <v>1</v>
      </c>
      <c r="F51" s="124">
        <f>диагностика!AL21</f>
        <v>4.4285714285714288</v>
      </c>
      <c r="G51" s="108"/>
      <c r="I51" s="104"/>
    </row>
    <row r="52" spans="1:9" ht="31.5" x14ac:dyDescent="0.25">
      <c r="A52" s="116" t="str">
        <f>"Б"&amp;CHAR(10)&amp;" "&amp;диагностика!AR15&amp;" "&amp;"человек"</f>
        <v>Б
 23 человек</v>
      </c>
      <c r="B52" s="123">
        <f>диагностика!BS23</f>
        <v>1</v>
      </c>
      <c r="C52" s="123">
        <f>диагностика!BS22</f>
        <v>0.9565217391304347</v>
      </c>
      <c r="D52" s="117">
        <f>SUM(диагностика!BR17:BR18)</f>
        <v>22</v>
      </c>
      <c r="E52" s="117">
        <f>диагностика!BR20</f>
        <v>0</v>
      </c>
      <c r="F52" s="125">
        <f>диагностика!BR21</f>
        <v>4.5652173913043477</v>
      </c>
    </row>
    <row r="54" spans="1:9" x14ac:dyDescent="0.25">
      <c r="A54" s="103" t="s">
        <v>140</v>
      </c>
    </row>
    <row r="55" spans="1:9" x14ac:dyDescent="0.25">
      <c r="A55" s="192" t="s">
        <v>155</v>
      </c>
      <c r="B55" s="192"/>
      <c r="C55" s="192"/>
      <c r="D55" s="192"/>
      <c r="E55" s="192"/>
      <c r="F55" s="192"/>
    </row>
    <row r="56" spans="1:9" x14ac:dyDescent="0.25">
      <c r="A56" s="196" t="s">
        <v>192</v>
      </c>
      <c r="B56" s="196"/>
      <c r="C56" s="196"/>
      <c r="D56" s="196"/>
      <c r="E56" s="196"/>
      <c r="F56" s="196"/>
    </row>
    <row r="58" spans="1:9" x14ac:dyDescent="0.25">
      <c r="A58" s="195" t="s">
        <v>156</v>
      </c>
      <c r="B58" s="195"/>
      <c r="C58" s="195"/>
      <c r="D58" s="195"/>
      <c r="E58" s="195"/>
      <c r="F58" s="195"/>
    </row>
    <row r="59" spans="1:9" x14ac:dyDescent="0.25">
      <c r="A59" s="196" t="s">
        <v>193</v>
      </c>
      <c r="B59" s="196"/>
      <c r="C59" s="196"/>
      <c r="D59" s="196"/>
      <c r="E59" s="196"/>
      <c r="F59" s="196"/>
    </row>
    <row r="61" spans="1:9" x14ac:dyDescent="0.25">
      <c r="A61" s="192" t="s">
        <v>141</v>
      </c>
      <c r="B61" s="192"/>
      <c r="C61" s="192"/>
      <c r="D61" s="192"/>
      <c r="E61" s="192"/>
      <c r="F61" s="192"/>
    </row>
    <row r="62" spans="1:9" x14ac:dyDescent="0.25">
      <c r="A62" s="196" t="s">
        <v>193</v>
      </c>
      <c r="B62" s="196"/>
      <c r="C62" s="196"/>
      <c r="D62" s="196"/>
      <c r="E62" s="196"/>
      <c r="F62" s="196"/>
    </row>
    <row r="64" spans="1:9" x14ac:dyDescent="0.25">
      <c r="A64" s="95" t="s">
        <v>142</v>
      </c>
    </row>
    <row r="65" spans="1:6" ht="18" customHeight="1" x14ac:dyDescent="0.25">
      <c r="A65" s="95" t="s">
        <v>17</v>
      </c>
      <c r="B65" s="200" t="s">
        <v>196</v>
      </c>
      <c r="C65" s="200"/>
      <c r="D65" s="127" t="s">
        <v>26</v>
      </c>
      <c r="E65" s="202" t="s">
        <v>198</v>
      </c>
      <c r="F65" s="202"/>
    </row>
  </sheetData>
  <mergeCells count="41">
    <mergeCell ref="B65:C65"/>
    <mergeCell ref="E65:F65"/>
    <mergeCell ref="A17:F17"/>
    <mergeCell ref="B44:E44"/>
    <mergeCell ref="B45:E45"/>
    <mergeCell ref="B46:E46"/>
    <mergeCell ref="A27:F27"/>
    <mergeCell ref="A26:F26"/>
    <mergeCell ref="A23:F23"/>
    <mergeCell ref="A39:F39"/>
    <mergeCell ref="A22:F22"/>
    <mergeCell ref="B20:F20"/>
    <mergeCell ref="B19:F19"/>
    <mergeCell ref="A59:F59"/>
    <mergeCell ref="A61:F61"/>
    <mergeCell ref="A62:F62"/>
    <mergeCell ref="A31:F31"/>
    <mergeCell ref="A33:F33"/>
    <mergeCell ref="A48:F48"/>
    <mergeCell ref="B41:E41"/>
    <mergeCell ref="B42:E42"/>
    <mergeCell ref="B43:E43"/>
    <mergeCell ref="A32:D32"/>
    <mergeCell ref="A58:F58"/>
    <mergeCell ref="A55:F55"/>
    <mergeCell ref="A56:F56"/>
    <mergeCell ref="A34:B34"/>
    <mergeCell ref="A35:B35"/>
    <mergeCell ref="A36:B36"/>
    <mergeCell ref="A37:B37"/>
    <mergeCell ref="A1:F1"/>
    <mergeCell ref="C4:F4"/>
    <mergeCell ref="A2:F2"/>
    <mergeCell ref="D6:F6"/>
    <mergeCell ref="A9:B9"/>
    <mergeCell ref="D7:F7"/>
    <mergeCell ref="A18:F18"/>
    <mergeCell ref="B12:F12"/>
    <mergeCell ref="A11:F11"/>
    <mergeCell ref="C9:F9"/>
    <mergeCell ref="A4:B4"/>
  </mergeCells>
  <dataValidations count="1">
    <dataValidation type="list" allowBlank="1" showInputMessage="1" showErrorMessage="1" sqref="B6:B7" xr:uid="{00000000-0002-0000-0200-000000000000}">
      <formula1>КЛАСС</formula1>
    </dataValidation>
  </dataValidations>
  <pageMargins left="0.7" right="0.7" top="0.75" bottom="0.75" header="0.3" footer="0.3"/>
  <pageSetup paperSize="9" scale="78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32"/>
  <sheetViews>
    <sheetView workbookViewId="0">
      <selection activeCell="D1" sqref="D1"/>
    </sheetView>
  </sheetViews>
  <sheetFormatPr defaultRowHeight="15" x14ac:dyDescent="0.2"/>
  <cols>
    <col min="1" max="1" width="25.140625" style="132" customWidth="1"/>
    <col min="2" max="2" width="11.140625" style="132" customWidth="1"/>
    <col min="3" max="4" width="9.140625" style="132"/>
    <col min="5" max="5" width="38.85546875" style="132" customWidth="1"/>
    <col min="6" max="16384" width="9.140625" style="132"/>
  </cols>
  <sheetData>
    <row r="1" spans="1:40" ht="16.5" thickBot="1" x14ac:dyDescent="0.25">
      <c r="A1" s="129" t="s">
        <v>157</v>
      </c>
      <c r="B1" s="130" t="s">
        <v>158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>
        <f>диагностика!AT13</f>
        <v>0.875</v>
      </c>
    </row>
    <row r="2" spans="1:40" ht="16.5" thickBot="1" x14ac:dyDescent="0.25">
      <c r="A2" s="133" t="s">
        <v>27</v>
      </c>
      <c r="B2" s="134">
        <f>диагностика!G13</f>
        <v>1</v>
      </c>
      <c r="D2" s="135" t="s">
        <v>153</v>
      </c>
      <c r="E2" s="136" t="s">
        <v>159</v>
      </c>
    </row>
    <row r="3" spans="1:40" ht="16.5" thickBot="1" x14ac:dyDescent="0.25">
      <c r="A3" s="133" t="s">
        <v>28</v>
      </c>
      <c r="B3" s="134">
        <f>диагностика!H13</f>
        <v>0.875</v>
      </c>
      <c r="D3" s="137" t="s">
        <v>170</v>
      </c>
      <c r="E3" s="138" t="s">
        <v>160</v>
      </c>
    </row>
    <row r="4" spans="1:40" ht="16.5" thickBot="1" x14ac:dyDescent="0.25">
      <c r="A4" s="133" t="s">
        <v>29</v>
      </c>
      <c r="B4" s="134" t="str">
        <f>диагностика!I13</f>
        <v xml:space="preserve"> </v>
      </c>
      <c r="D4" s="137" t="s">
        <v>171</v>
      </c>
      <c r="E4" s="138" t="s">
        <v>161</v>
      </c>
    </row>
    <row r="5" spans="1:40" ht="16.5" thickBot="1" x14ac:dyDescent="0.25">
      <c r="A5" s="133" t="s">
        <v>30</v>
      </c>
      <c r="B5" s="134" t="str">
        <f>диагностика!J13</f>
        <v xml:space="preserve"> </v>
      </c>
      <c r="D5" s="137" t="s">
        <v>172</v>
      </c>
      <c r="E5" s="138" t="s">
        <v>162</v>
      </c>
    </row>
    <row r="6" spans="1:40" ht="16.5" thickBot="1" x14ac:dyDescent="0.25">
      <c r="A6" s="133" t="s">
        <v>31</v>
      </c>
      <c r="B6" s="134">
        <f>диагностика!K13</f>
        <v>1</v>
      </c>
      <c r="D6" s="137" t="s">
        <v>173</v>
      </c>
      <c r="E6" s="138" t="s">
        <v>163</v>
      </c>
    </row>
    <row r="7" spans="1:40" ht="16.5" thickBot="1" x14ac:dyDescent="0.25">
      <c r="A7" s="133" t="s">
        <v>32</v>
      </c>
      <c r="B7" s="134">
        <f>диагностика!L13</f>
        <v>1</v>
      </c>
      <c r="D7" s="137" t="s">
        <v>174</v>
      </c>
      <c r="E7" s="138" t="s">
        <v>164</v>
      </c>
    </row>
    <row r="8" spans="1:40" ht="16.5" thickBot="1" x14ac:dyDescent="0.25">
      <c r="A8" s="133" t="s">
        <v>33</v>
      </c>
      <c r="B8" s="134">
        <f>диагностика!M13</f>
        <v>1</v>
      </c>
      <c r="D8" s="137" t="s">
        <v>175</v>
      </c>
      <c r="E8" s="138" t="s">
        <v>165</v>
      </c>
    </row>
    <row r="9" spans="1:40" ht="16.5" thickBot="1" x14ac:dyDescent="0.25">
      <c r="A9" s="133" t="s">
        <v>34</v>
      </c>
      <c r="B9" s="134" t="str">
        <f>диагностика!N13</f>
        <v xml:space="preserve"> </v>
      </c>
      <c r="D9" s="137" t="s">
        <v>176</v>
      </c>
      <c r="E9" s="138" t="s">
        <v>166</v>
      </c>
    </row>
    <row r="10" spans="1:40" ht="16.5" thickBot="1" x14ac:dyDescent="0.25">
      <c r="A10" s="133" t="s">
        <v>35</v>
      </c>
      <c r="B10" s="134">
        <f>диагностика!O13</f>
        <v>1</v>
      </c>
      <c r="D10" s="137" t="s">
        <v>177</v>
      </c>
      <c r="E10" s="138" t="s">
        <v>167</v>
      </c>
    </row>
    <row r="11" spans="1:40" ht="16.5" thickBot="1" x14ac:dyDescent="0.25">
      <c r="A11" s="133" t="s">
        <v>36</v>
      </c>
      <c r="B11" s="134">
        <f>диагностика!P13</f>
        <v>1</v>
      </c>
      <c r="D11" s="137" t="s">
        <v>178</v>
      </c>
      <c r="E11" s="138" t="s">
        <v>168</v>
      </c>
    </row>
    <row r="12" spans="1:40" ht="16.5" thickBot="1" x14ac:dyDescent="0.25">
      <c r="A12" s="133" t="s">
        <v>37</v>
      </c>
      <c r="B12" s="134">
        <f>диагностика!Q13</f>
        <v>1</v>
      </c>
      <c r="D12" s="137" t="s">
        <v>179</v>
      </c>
      <c r="E12" s="138" t="s">
        <v>169</v>
      </c>
    </row>
    <row r="13" spans="1:40" ht="15.75" x14ac:dyDescent="0.2">
      <c r="A13" s="133" t="s">
        <v>38</v>
      </c>
      <c r="B13" s="134">
        <f>диагностика!R13</f>
        <v>1</v>
      </c>
    </row>
    <row r="14" spans="1:40" ht="15.75" x14ac:dyDescent="0.2">
      <c r="A14" s="133" t="s">
        <v>39</v>
      </c>
      <c r="B14" s="134">
        <f>диагностика!S13</f>
        <v>1</v>
      </c>
    </row>
    <row r="15" spans="1:40" ht="15.75" x14ac:dyDescent="0.2">
      <c r="A15" s="133" t="s">
        <v>40</v>
      </c>
      <c r="B15" s="134">
        <f>диагностика!T13</f>
        <v>1</v>
      </c>
    </row>
    <row r="16" spans="1:40" ht="15.75" x14ac:dyDescent="0.2">
      <c r="A16" s="133" t="s">
        <v>41</v>
      </c>
      <c r="B16" s="134">
        <f>диагностика!U13</f>
        <v>0.875</v>
      </c>
    </row>
    <row r="17" spans="1:2" ht="15.75" x14ac:dyDescent="0.2">
      <c r="A17" s="133" t="s">
        <v>42</v>
      </c>
      <c r="B17" s="134">
        <f>диагностика!V13</f>
        <v>0.875</v>
      </c>
    </row>
    <row r="18" spans="1:2" ht="15.75" x14ac:dyDescent="0.2">
      <c r="A18" s="133" t="s">
        <v>43</v>
      </c>
      <c r="B18" s="134">
        <f>диагностика!W13</f>
        <v>0.75</v>
      </c>
    </row>
    <row r="19" spans="1:2" ht="15.75" x14ac:dyDescent="0.2">
      <c r="A19" s="133" t="s">
        <v>44</v>
      </c>
      <c r="B19" s="134">
        <f>диагностика!X13</f>
        <v>1</v>
      </c>
    </row>
    <row r="20" spans="1:2" ht="15.75" x14ac:dyDescent="0.2">
      <c r="A20" s="133" t="s">
        <v>45</v>
      </c>
      <c r="B20" s="134">
        <f>диагностика!Y13</f>
        <v>1</v>
      </c>
    </row>
    <row r="21" spans="1:2" ht="15.75" x14ac:dyDescent="0.2">
      <c r="A21" s="133" t="s">
        <v>46</v>
      </c>
      <c r="B21" s="134">
        <f>диагностика!Z13</f>
        <v>0.25</v>
      </c>
    </row>
    <row r="22" spans="1:2" ht="15.75" x14ac:dyDescent="0.2">
      <c r="A22" s="133" t="s">
        <v>47</v>
      </c>
      <c r="B22" s="134">
        <f>диагностика!AA13</f>
        <v>0.875</v>
      </c>
    </row>
    <row r="23" spans="1:2" ht="15.75" x14ac:dyDescent="0.2">
      <c r="A23" s="133" t="s">
        <v>48</v>
      </c>
      <c r="B23" s="134">
        <f>диагностика!AB13</f>
        <v>0.875</v>
      </c>
    </row>
    <row r="24" spans="1:2" ht="15.75" x14ac:dyDescent="0.2">
      <c r="A24" s="133" t="s">
        <v>49</v>
      </c>
      <c r="B24" s="134">
        <f>диагностика!AC13</f>
        <v>0.875</v>
      </c>
    </row>
    <row r="25" spans="1:2" ht="15.75" x14ac:dyDescent="0.2">
      <c r="A25" s="133" t="s">
        <v>50</v>
      </c>
      <c r="B25" s="134">
        <f>диагностика!AD13</f>
        <v>0.625</v>
      </c>
    </row>
    <row r="26" spans="1:2" ht="18.75" customHeight="1" x14ac:dyDescent="0.2">
      <c r="A26" s="133" t="s">
        <v>51</v>
      </c>
      <c r="B26" s="134">
        <f>диагностика!AE13</f>
        <v>1</v>
      </c>
    </row>
    <row r="27" spans="1:2" ht="31.5" x14ac:dyDescent="0.2">
      <c r="A27" s="133" t="s">
        <v>52</v>
      </c>
      <c r="B27" s="134">
        <f>диагностика!AF13</f>
        <v>1</v>
      </c>
    </row>
    <row r="28" spans="1:2" ht="15.75" x14ac:dyDescent="0.2">
      <c r="A28" s="133" t="s">
        <v>53</v>
      </c>
      <c r="B28" s="134">
        <f>диагностика!AG13</f>
        <v>0.875</v>
      </c>
    </row>
    <row r="29" spans="1:2" ht="15.75" x14ac:dyDescent="0.2">
      <c r="A29" s="133" t="s">
        <v>54</v>
      </c>
      <c r="B29" s="134">
        <f>диагностика!AH13</f>
        <v>1</v>
      </c>
    </row>
    <row r="30" spans="1:2" ht="15.75" x14ac:dyDescent="0.2">
      <c r="A30" s="133" t="s">
        <v>55</v>
      </c>
      <c r="B30" s="134">
        <f>диагностика!AI13</f>
        <v>1</v>
      </c>
    </row>
    <row r="31" spans="1:2" ht="15.75" x14ac:dyDescent="0.2">
      <c r="A31" s="133" t="s">
        <v>56</v>
      </c>
      <c r="B31" s="134">
        <f>диагностика!AJ13</f>
        <v>1</v>
      </c>
    </row>
    <row r="32" spans="1:2" ht="15.75" x14ac:dyDescent="0.2">
      <c r="A32" s="139" t="s">
        <v>57</v>
      </c>
      <c r="B32" s="140">
        <f>диагностика!AK13</f>
        <v>1</v>
      </c>
    </row>
  </sheetData>
  <phoneticPr fontId="6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диагностика</vt:lpstr>
      <vt:lpstr>УУД 1-5 классы</vt:lpstr>
      <vt:lpstr>Справка</vt:lpstr>
      <vt:lpstr>Лист1</vt:lpstr>
      <vt:lpstr>КЛАСС</vt:lpstr>
    </vt:vector>
  </TitlesOfParts>
  <Company>Дом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Марина Козуб</cp:lastModifiedBy>
  <cp:lastPrinted>2019-11-26T22:43:29Z</cp:lastPrinted>
  <dcterms:created xsi:type="dcterms:W3CDTF">2012-11-24T16:36:55Z</dcterms:created>
  <dcterms:modified xsi:type="dcterms:W3CDTF">2020-10-27T19:52:12Z</dcterms:modified>
</cp:coreProperties>
</file>